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826" activeTab="0"/>
  </bookViews>
  <sheets>
    <sheet name="Planilha Geral" sheetId="1" r:id="rId1"/>
    <sheet name="Cronograma" sheetId="2" r:id="rId2"/>
    <sheet name="Trincheira drenante" sheetId="3" r:id="rId3"/>
    <sheet name="Rua Polo" sheetId="4" r:id="rId4"/>
    <sheet name="Rua Francisco Schimit" sheetId="5" r:id="rId5"/>
    <sheet name="Rua José Calegari" sheetId="6" r:id="rId6"/>
    <sheet name="Projetada 2" sheetId="7" r:id="rId7"/>
    <sheet name="Rua Projetada 12" sheetId="8" r:id="rId8"/>
    <sheet name="Rua Projetada 90" sheetId="9" r:id="rId9"/>
    <sheet name="Rua Projetada 91" sheetId="10" r:id="rId10"/>
    <sheet name="Rua Thereza " sheetId="11" r:id="rId11"/>
    <sheet name="Rua do Cemiterio" sheetId="12" r:id="rId12"/>
    <sheet name="ADMINISTRAÇÃO" sheetId="13" r:id="rId13"/>
  </sheets>
  <externalReferences>
    <externalReference r:id="rId16"/>
    <externalReference r:id="rId17"/>
    <externalReference r:id="rId18"/>
  </externalReferences>
  <definedNames>
    <definedName name="_xlnm.Print_Area" localSheetId="12">'ADMINISTRAÇÃO'!$A$1:$I$39</definedName>
    <definedName name="_xlnm.Print_Area" localSheetId="1">'Cronograma'!$A$1:$O$32</definedName>
    <definedName name="_xlnm.Print_Area" localSheetId="0">'Planilha Geral'!$A$1:$H$78</definedName>
    <definedName name="_xlnm.Print_Area" localSheetId="6">'Projetada 2'!$A$1:$H$56</definedName>
    <definedName name="_xlnm.Print_Area" localSheetId="11">'Rua do Cemiterio'!$A$1:$H$38</definedName>
    <definedName name="_xlnm.Print_Area" localSheetId="4">'Rua Francisco Schimit'!$A$1:$H$44</definedName>
    <definedName name="_xlnm.Print_Area" localSheetId="5">'Rua José Calegari'!$A$1:$H$56</definedName>
    <definedName name="_xlnm.Print_Area" localSheetId="3">'Rua Polo'!$A$1:$H$52</definedName>
    <definedName name="_xlnm.Print_Area" localSheetId="7">'Rua Projetada 12'!$A$1:$H$37</definedName>
    <definedName name="_xlnm.Print_Area" localSheetId="8">'Rua Projetada 90'!$A$1:$H$44</definedName>
    <definedName name="_xlnm.Print_Area" localSheetId="9">'Rua Projetada 91'!$A$1:$H$37</definedName>
    <definedName name="_xlnm.Print_Area" localSheetId="10">'Rua Thereza '!$A$1:$H$43</definedName>
    <definedName name="_xlnm.Print_Area" localSheetId="2">'Trincheira drenante'!$A$1:$J$55</definedName>
    <definedName name="_xlnm.Print_Titles" localSheetId="0">'Planilha Geral'!$1:$9</definedName>
    <definedName name="_xlnm.Print_Titles" localSheetId="3">'Rua Polo'!$1:$9</definedName>
  </definedNames>
  <calcPr fullCalcOnLoad="1"/>
</workbook>
</file>

<file path=xl/sharedStrings.xml><?xml version="1.0" encoding="utf-8"?>
<sst xmlns="http://schemas.openxmlformats.org/spreadsheetml/2006/main" count="1290" uniqueCount="331">
  <si>
    <t>m</t>
  </si>
  <si>
    <t>ITEM</t>
  </si>
  <si>
    <t>DESCRIÇÃO</t>
  </si>
  <si>
    <t>PREÇO UNITÁRIO</t>
  </si>
  <si>
    <t>PREÇO TOTAL</t>
  </si>
  <si>
    <t>m²</t>
  </si>
  <si>
    <t>m³</t>
  </si>
  <si>
    <t xml:space="preserve">CÓDIGO </t>
  </si>
  <si>
    <t>SUBTOTAL</t>
  </si>
  <si>
    <t>PAVIMENTAÇÃO</t>
  </si>
  <si>
    <t>TOTAL  GERAL</t>
  </si>
  <si>
    <t>DRENAGEM</t>
  </si>
  <si>
    <t>2.1</t>
  </si>
  <si>
    <t>2.2</t>
  </si>
  <si>
    <t>2.3</t>
  </si>
  <si>
    <t>2.4</t>
  </si>
  <si>
    <t>TERRAPLENAGEM</t>
  </si>
  <si>
    <t>3.1</t>
  </si>
  <si>
    <t>SERVIÇOS PRELIMINARES</t>
  </si>
  <si>
    <t>DER-ES</t>
  </si>
  <si>
    <t>DER/ES</t>
  </si>
  <si>
    <t xml:space="preserve">Regularização e compactação de sub leito 100%PN espessura H= 20cm </t>
  </si>
  <si>
    <t>QUANT.</t>
  </si>
  <si>
    <t>TOTAL ÍTEM 4</t>
  </si>
  <si>
    <t>4.1</t>
  </si>
  <si>
    <t>4.3</t>
  </si>
  <si>
    <t>4.4</t>
  </si>
  <si>
    <t>Tabelas Referenciais :</t>
  </si>
  <si>
    <t>Local:  São Domingos do Norte - ES</t>
  </si>
  <si>
    <t>Compactação de aterros 100% PN</t>
  </si>
  <si>
    <t>Índice de preço para remoção de entulho decorrente da execução de obras (Classe A CONAMA - NBR 10.004 - Classe II-B), incluindo aluguel da caçamba, carga, transporte e descarga em área licenciada</t>
  </si>
  <si>
    <t>3.1.1</t>
  </si>
  <si>
    <t>und</t>
  </si>
  <si>
    <t>TOTAL ÍTEM 3</t>
  </si>
  <si>
    <t>PREFEITURA MUNICIPAL DE SÃO DOMINGOS DO NORTE - ES
SECRETARIA MUNICIPAL DE OBRAS</t>
  </si>
  <si>
    <t>Transporte horizontal com trator de lâmina de material de 1ª cat. DMTaté 50m</t>
  </si>
  <si>
    <t>40680</t>
  </si>
  <si>
    <t>Descida d'água concreto simples (degraus) c/ caiação (DSA-03) degrau</t>
  </si>
  <si>
    <t>SINALIZAÇÃO</t>
  </si>
  <si>
    <t>40752</t>
  </si>
  <si>
    <t>TOTAL ÍTEM 6</t>
  </si>
  <si>
    <t>4.2</t>
  </si>
  <si>
    <t>6.1</t>
  </si>
  <si>
    <t>UNID.</t>
  </si>
  <si>
    <t>REFER.</t>
  </si>
  <si>
    <t>DIVERSOS</t>
  </si>
  <si>
    <t>41326</t>
  </si>
  <si>
    <t>40107</t>
  </si>
  <si>
    <t>FABRÍCIO BEZERRA CARLOS DE SOUZA</t>
  </si>
  <si>
    <t>ARQUITETO E URBANISTA</t>
  </si>
  <si>
    <t>CAU - A 50980-9</t>
  </si>
  <si>
    <t xml:space="preserve">Responsável Técnico:                                                                                                                                                                             Fabrício Bezerra Carlos de Souza - Arquiteto e Urbanista CAU A 50980-9                                                                                                           </t>
  </si>
  <si>
    <t>PMSDN</t>
  </si>
  <si>
    <t>Sinalização vertical, inclusive transporte de placa sinalização e madeira</t>
  </si>
  <si>
    <t>40145</t>
  </si>
  <si>
    <t xml:space="preserve"> PLANILHA ORÇAMENTARIA</t>
  </si>
  <si>
    <t>TRINCHEIRA</t>
  </si>
  <si>
    <t>SINAPI</t>
  </si>
  <si>
    <t>72897</t>
  </si>
  <si>
    <t>73789/002</t>
  </si>
  <si>
    <t>MEIO-FIO DE CONCRETO MOLDADO NO LOCAL, USINADO 15 MPA, COM 0,30 M ALTURA X 0,15 M BASE, REJUNTE EM ARGAMASSA TRACO 1:3,5 (CIMENTO E AREIA)</t>
  </si>
  <si>
    <t>84122</t>
  </si>
  <si>
    <t>PLACA INAUGURACAO EM ALUMINIO 0,40X0,60M FORNECIMENTO E COLOCACAO</t>
  </si>
  <si>
    <t>3.2</t>
  </si>
  <si>
    <t>3.2.1</t>
  </si>
  <si>
    <t>3.3</t>
  </si>
  <si>
    <t>5.0</t>
  </si>
  <si>
    <t>5.1</t>
  </si>
  <si>
    <t>6.0</t>
  </si>
  <si>
    <t>TOTAL ÍTEM 2</t>
  </si>
  <si>
    <t>TOTAL ÍTEM 1</t>
  </si>
  <si>
    <t>TOTAL ÍTEM 5</t>
  </si>
  <si>
    <t>73892/001</t>
  </si>
  <si>
    <t>EXECUÇÃO DE PASSEIO (CALÇADA) EM CONCRETO (CIMENTO/AREIA/SEIXO ROLADO), PREPARO MECÂNICO, ESPESSURA 7CM, COM JUNTA DE DILATAÇÃO EM MADEIRA,INCLUSO LANÇAMENTO E ADENSAMENTO</t>
  </si>
  <si>
    <t>SINAPI - ENCARGOS SOCIAIS DESONERADOS =90,92%    DATA DE REFERÊNCIA TÉCNICA - JANEIRO DE 2016</t>
  </si>
  <si>
    <t>BDI considerado = 25%</t>
  </si>
  <si>
    <t>DATA : MARÇO DE 2016</t>
  </si>
  <si>
    <t>83690</t>
  </si>
  <si>
    <t>DISSIPADOR DE ENERGIA EM PEDRA ARGAMASSADA ESPESSURA 6CM INCL MATERIAIS E COLOCACAO MEDIDO P/ VOLUME DE PEDRA ARGAMASSADA</t>
  </si>
  <si>
    <t>83532</t>
  </si>
  <si>
    <t>LASTRO DE CONCRETO, PREPARO MECANICO</t>
  </si>
  <si>
    <t>ATUALIZAÇÃO DA DATA BASE DO DER-ES PELA VARIAÇÃO DE UM ÍNDICE FINANCEIRO NO PERÍODO DE JUNHO DE 2015 ATE JANEIRO 2016 INCC-DI =  FATOR DE MULTIPLICAÇÃO = 1,0755</t>
  </si>
  <si>
    <t>kg</t>
  </si>
  <si>
    <t>73972/002</t>
  </si>
  <si>
    <t>CONCRETO FCK=20MPA, VIRADO EM BETONEIRA, SEM LANCAMENTO</t>
  </si>
  <si>
    <t>6.2</t>
  </si>
  <si>
    <t>40659</t>
  </si>
  <si>
    <t>1.1</t>
  </si>
  <si>
    <t>74209/001</t>
  </si>
  <si>
    <t>PLACA DE OBRA EM CHAPA DE ACO GALVANIZADO</t>
  </si>
  <si>
    <t>74210/001</t>
  </si>
  <si>
    <t>BARRACAO PARA DEPOSITO EM TABUAS DE MADEIRA, COBERTURA EM FIBROCIMENTO 4 MM, INCLUSO PISO ARGAMASSA TRAÇO 1:6 (CIMENTO E AREIA)</t>
  </si>
  <si>
    <t>ENGENHEIRO CIVIL DE OBRA JUNIOR COM ENCARGOS COMPLEMENTARES</t>
  </si>
  <si>
    <t>1.2</t>
  </si>
  <si>
    <t>1.3</t>
  </si>
  <si>
    <t>ENCARREGADO GERAL COM ENCARGOS COMPLEMENTARES</t>
  </si>
  <si>
    <t>1.4</t>
  </si>
  <si>
    <t>PAVIMENTAÇÃO DA RUA PROJETADA 91</t>
  </si>
  <si>
    <t>BAIRRO : CRISTO REI</t>
  </si>
  <si>
    <t>PAVIMENTAÇÃO DA RUA FRANCISCO SCHIMIT BERGUE</t>
  </si>
  <si>
    <t>BAIRRO : UBERLÂNDIA</t>
  </si>
  <si>
    <t>3.4</t>
  </si>
  <si>
    <t>41246</t>
  </si>
  <si>
    <t>Rampa de pedestres, com piso em ladrilho hidráulico podotátil</t>
  </si>
  <si>
    <t>4.0</t>
  </si>
  <si>
    <t>4.6</t>
  </si>
  <si>
    <t>BAIRRO : EMILIO CALEGARI</t>
  </si>
  <si>
    <t>IOPES</t>
  </si>
  <si>
    <t>200307</t>
  </si>
  <si>
    <t>Fornecimento e espalhamento de terra vegetal</t>
  </si>
  <si>
    <t>85180</t>
  </si>
  <si>
    <t>PLANTIO DE GRAMA ESMERALDA EM ROLO</t>
  </si>
  <si>
    <t>PAVIMENTAÇÃO DA RUA PROJETADA 12</t>
  </si>
  <si>
    <t>BAIRRO : CAIXA D'AGUA</t>
  </si>
  <si>
    <t>PAVIMENTAÇÃO DA RUA PROJETADA 90</t>
  </si>
  <si>
    <t>PAVIMENTAÇÃO DA RUA THEREZA</t>
  </si>
  <si>
    <t>BAIRRO : OTAVIO BONAPARTE</t>
  </si>
  <si>
    <t>7.0</t>
  </si>
  <si>
    <t>7.1</t>
  </si>
  <si>
    <t>7.2</t>
  </si>
  <si>
    <t>TOTAL ÍTEM 7</t>
  </si>
  <si>
    <t>PAVIMENTAÇÃO DE DIVERSAS RUAS DO MUNICÍPIO</t>
  </si>
  <si>
    <t>BAIRRO : DIVERSOS</t>
  </si>
  <si>
    <t>PLACA DE INAUGURAÇÃO</t>
  </si>
  <si>
    <t>6.3</t>
  </si>
  <si>
    <t>6.4</t>
  </si>
  <si>
    <t>PAVIMENTAÇÃO DA RUA PROJETADA 2</t>
  </si>
  <si>
    <t>BAIRRO : CENTRO</t>
  </si>
  <si>
    <t>40417</t>
  </si>
  <si>
    <t>Corpo BSTC diâmetro 0,20 m C.S. MF inclusive escavação, reaterro e transporte do tubo</t>
  </si>
  <si>
    <t>40555</t>
  </si>
  <si>
    <t>Poço de visita (tubo D-&gt;0,80 m) H-&gt;1,90 m com tampão F.F.A.P., inclusive escavação e transporte do tampão</t>
  </si>
  <si>
    <t>85233</t>
  </si>
  <si>
    <t>ESCADA EM CONCRETO ARMADO, FCK = 15 MPA, MOLDADA IN LOCO</t>
  </si>
  <si>
    <t>74072/001</t>
  </si>
  <si>
    <t>CORRIMAO EM TUBO ACO GALVANIZADO 3/4" COM BRACADEIRA</t>
  </si>
  <si>
    <t>200715</t>
  </si>
  <si>
    <t>Mureta em alvenaria de blocos cerâmicos 10x20x20cmm, h=0.60cm, para fechamento de quadra, compilaretes de travamento em concreto armado a cada 3m, inclusive chapisco</t>
  </si>
  <si>
    <t>6.5</t>
  </si>
  <si>
    <t xml:space="preserve">CRONOGRAMA  FÍSICO FINANCEIRO </t>
  </si>
  <si>
    <t>EXEC.</t>
  </si>
  <si>
    <t>Valor Total</t>
  </si>
  <si>
    <t>%</t>
  </si>
  <si>
    <t>R$</t>
  </si>
  <si>
    <t>MÊS 1</t>
  </si>
  <si>
    <t xml:space="preserve">MÊS 2 </t>
  </si>
  <si>
    <t>MÊS 3</t>
  </si>
  <si>
    <t>Valor</t>
  </si>
  <si>
    <t xml:space="preserve">Total </t>
  </si>
  <si>
    <t>Total Acumulado</t>
  </si>
  <si>
    <t>Empreendimento: PAVIMENTAÇÃO DE DIVERSAS RUAS DO MUNICÍPIO                       DATA: MARÇO DE 2016</t>
  </si>
  <si>
    <t>RUA</t>
  </si>
  <si>
    <t>PROJETADA 12</t>
  </si>
  <si>
    <t>PROJETADA 90</t>
  </si>
  <si>
    <t>PROJETADA 91</t>
  </si>
  <si>
    <t>THEREZA</t>
  </si>
  <si>
    <t>PROJETADA 2</t>
  </si>
  <si>
    <t>FRANCISCO SCHIMIT BERGUE</t>
  </si>
  <si>
    <t>MÊS 4</t>
  </si>
  <si>
    <t>MÊS 5</t>
  </si>
  <si>
    <t>MÊS 6</t>
  </si>
  <si>
    <t>2.1.1</t>
  </si>
  <si>
    <t>2.1.2</t>
  </si>
  <si>
    <t>2.1.3</t>
  </si>
  <si>
    <t>2.2.1</t>
  </si>
  <si>
    <t>40867</t>
  </si>
  <si>
    <t>Demolição e remoção de pavimento asfáltico</t>
  </si>
  <si>
    <t>4.7</t>
  </si>
  <si>
    <t>PAVIMENTAÇÃO RUA DO CEMITÉRIO</t>
  </si>
  <si>
    <t>BAIRRO : PÓLO BOA SORTE</t>
  </si>
  <si>
    <t>TOTAL ITEM 3</t>
  </si>
  <si>
    <t>MEIO-FIO DE CONCRETO MOLDADO NO LOCAL, USINADO 15 MPA, COM 0,30 M ALTURA X 0,15 M BASE, REJUNTE EM ARGAMASSA TRAÇO 1:3,5 (CIMENTO E AREIA)</t>
  </si>
  <si>
    <t>TOTAL ITEM 4</t>
  </si>
  <si>
    <t>TOTAL ITEM 5</t>
  </si>
  <si>
    <t xml:space="preserve"> PLANILHA ORÇAMENTÁRIA</t>
  </si>
  <si>
    <t>TOTAL ITEM 1</t>
  </si>
  <si>
    <t>TOTAL ITEM 2</t>
  </si>
  <si>
    <t>DISSIPADOR DE ENERGIA EM PEDRA ARGAMASSADA ESPESSURA 6CM INCL MATERIAIS E COLOCAÇÃO MEDIDO P/ VOLUME DE PEDRA ARGAMASSADA</t>
  </si>
  <si>
    <t>RUA DO CEMITÉRIO</t>
  </si>
  <si>
    <t>PÓLO BOA SORTE</t>
  </si>
  <si>
    <t>PERÍODO DE EXECUÇÃO</t>
  </si>
  <si>
    <t>PAVIMENTAÇÃO DA RUA DE ACESSO DO PÓLO BOA SORTE</t>
  </si>
  <si>
    <t>PAVIMENTAÇÃO DA RUA JOSÉ CALEGARI</t>
  </si>
  <si>
    <t>BAIRRO : OCTÁVIO BONAPARTE</t>
  </si>
  <si>
    <t>JOSÉ CALEGARI</t>
  </si>
  <si>
    <t xml:space="preserve">             ARQUITETO E URBANISTA - CAU - A 50980-9</t>
  </si>
  <si>
    <t>PREÇO C/ BDI</t>
  </si>
  <si>
    <t>COMPOSIÇÃO ANALÍTICA DE PREÇO UNITÁRIO</t>
  </si>
  <si>
    <t>DESCRIÇÃO DO SERVIÇO</t>
  </si>
  <si>
    <t>UNIDADE</t>
  </si>
  <si>
    <t>DATA BASE</t>
  </si>
  <si>
    <t>TOTAL A</t>
  </si>
  <si>
    <t>TOTAL B</t>
  </si>
  <si>
    <t>TOTAL C</t>
  </si>
  <si>
    <t>Junho / 2015</t>
  </si>
  <si>
    <t>(A)Equipamento</t>
  </si>
  <si>
    <t>Código
padrão</t>
  </si>
  <si>
    <t>Quantidade</t>
  </si>
  <si>
    <t>Ut. Pr</t>
  </si>
  <si>
    <t>Ut. Impr</t>
  </si>
  <si>
    <t>Vl. Hr. Prod</t>
  </si>
  <si>
    <t>Vl. Hr. Imp</t>
  </si>
  <si>
    <t>Custo Horário</t>
  </si>
  <si>
    <t>(B)Mão-de-Obra</t>
  </si>
  <si>
    <t>Eq. Salarial</t>
  </si>
  <si>
    <t>Encargos(%)</t>
  </si>
  <si>
    <t>Sal/Hora</t>
  </si>
  <si>
    <t>Consumo</t>
  </si>
  <si>
    <t>Encarregado de O.A.C.</t>
  </si>
  <si>
    <t>(C)Itens de Incidência</t>
  </si>
  <si>
    <t>M. O.</t>
  </si>
  <si>
    <t>Equip.</t>
  </si>
  <si>
    <t>Mat.</t>
  </si>
  <si>
    <t>Custo</t>
  </si>
  <si>
    <t>Custo Horário da Execução (A) + (B) + (C)</t>
  </si>
  <si>
    <t>(D) Produção da Equipe</t>
  </si>
  <si>
    <t>(E) Custo Unitário da Execução [(A) + (B) + (C)] / (D)</t>
  </si>
  <si>
    <t>(F)Materiais</t>
  </si>
  <si>
    <t>Unid.</t>
  </si>
  <si>
    <t>Custo Unitário</t>
  </si>
  <si>
    <t>TOTAL F</t>
  </si>
  <si>
    <t>(G)Serviços</t>
  </si>
  <si>
    <t>Concreto estrutural fck = 15,0 MPa, tudo incluído</t>
  </si>
  <si>
    <t>(H)Itens de Transporte</t>
  </si>
  <si>
    <t>Fórmula</t>
  </si>
  <si>
    <t>X1</t>
  </si>
  <si>
    <t>X2</t>
  </si>
  <si>
    <t>X3</t>
  </si>
  <si>
    <t>Custo Unit.</t>
  </si>
  <si>
    <t>TOTAL G</t>
  </si>
  <si>
    <t>Custo Direto Total (E) + (F) + (G) + (H)</t>
  </si>
  <si>
    <t>Preço Unitário Total</t>
  </si>
  <si>
    <t>TOTAL H</t>
  </si>
  <si>
    <t>Tabela de Preços: Referencial de Preços Junho 2015 com BDI=29,63% e L.S.C.=128,33 (Resolução SETOP Nº 01/2016)</t>
  </si>
  <si>
    <t>Formas planas de madeira com 02 (dois) reaproveitamentos, inclusive fornecimento e transporte das madeiras</t>
  </si>
  <si>
    <t>Pedreiro de O.A.C.</t>
  </si>
  <si>
    <t>Ferramentas manuais</t>
  </si>
  <si>
    <t>X</t>
  </si>
  <si>
    <t>Aço CA-50, fornecimento, dobragem e colocação nas formas (preço médio das bitolas)</t>
  </si>
  <si>
    <t>Escavação mecânica em material de 1ª cat. H= 1,50 a 3,00 m</t>
  </si>
  <si>
    <t>Reaterro de cavas c/ compactação mecânica (compactador manual)</t>
  </si>
  <si>
    <t>M</t>
  </si>
  <si>
    <t>Servente</t>
  </si>
  <si>
    <t>Escavação mecânica em material de 1ª cat. H= 0,00 a 1,50 m</t>
  </si>
  <si>
    <t>43095 DER-ES</t>
  </si>
  <si>
    <t>CANTONEIRA DE FERRO 3/16" X 1.1/4" X 1.1/4"</t>
  </si>
  <si>
    <t>049666 IOPES</t>
  </si>
  <si>
    <t>00000028 SINAPI</t>
  </si>
  <si>
    <t>ACO CA-50, 25,0 MM, VERGALHAO</t>
  </si>
  <si>
    <t>00004767 SINAPI</t>
  </si>
  <si>
    <t>PERFIL "I" DE ACO LAMINADO, "I" 152 X 22</t>
  </si>
  <si>
    <t>Soldador</t>
  </si>
  <si>
    <t>concreto</t>
  </si>
  <si>
    <t>magro</t>
  </si>
  <si>
    <t>forma</t>
  </si>
  <si>
    <t>ferragem</t>
  </si>
  <si>
    <t>escavação</t>
  </si>
  <si>
    <t>trecheira 1</t>
  </si>
  <si>
    <t>Trincheira de concreto com profundidade de 1,70m e largura de 1,50m, grelha em vergalhão de 25mm e perfil I ou H laminado.</t>
  </si>
  <si>
    <t>COMP.</t>
  </si>
  <si>
    <t>MÃO DE OBRA</t>
  </si>
  <si>
    <t>Unid</t>
  </si>
  <si>
    <t>Código</t>
  </si>
  <si>
    <t>Coefic.</t>
  </si>
  <si>
    <t>C. Prod.</t>
  </si>
  <si>
    <t>Pr. Prod.</t>
  </si>
  <si>
    <t>Pr. Improd.</t>
  </si>
  <si>
    <t>Pr. Unit.</t>
  </si>
  <si>
    <t>Subtotal</t>
  </si>
  <si>
    <t>H</t>
  </si>
  <si>
    <t>SubTotal:</t>
  </si>
  <si>
    <t>MATERIAL</t>
  </si>
  <si>
    <t>RESUMO</t>
  </si>
  <si>
    <t>DISCRIMINAÇÃO</t>
  </si>
  <si>
    <t>TAXA(%)</t>
  </si>
  <si>
    <t>VALORES</t>
  </si>
  <si>
    <t>Mão-de-Obra(A)</t>
  </si>
  <si>
    <t>Materiais(B)</t>
  </si>
  <si>
    <t>Equipamentos(C)</t>
  </si>
  <si>
    <t>Produção da Equipe(D)</t>
  </si>
  <si>
    <t>Custo Horário Total(A+C)</t>
  </si>
  <si>
    <t>Custo Unitário da Execução[(A/D)+(C/D)] = E</t>
  </si>
  <si>
    <t>Custo Direto Total(B+E)</t>
  </si>
  <si>
    <t>Bonificações e Despesas Indiretas - BDI</t>
  </si>
  <si>
    <t>CUSTO UNITÁRIO (Adotado)</t>
  </si>
  <si>
    <r>
      <t>Versão:</t>
    </r>
    <r>
      <rPr>
        <sz val="8"/>
        <color indexed="8"/>
        <rFont val="Arial"/>
        <family val="2"/>
      </rPr>
      <t> 1</t>
    </r>
  </si>
  <si>
    <t>EQUIPAMENTO</t>
  </si>
  <si>
    <r>
      <t>Serviço:</t>
    </r>
    <r>
      <rPr>
        <sz val="8"/>
        <color indexed="8"/>
        <rFont val="Arial"/>
        <family val="2"/>
      </rPr>
      <t> Administração Local</t>
    </r>
  </si>
  <si>
    <r>
      <t>Base:</t>
    </r>
    <r>
      <rPr>
        <sz val="8"/>
        <color indexed="8"/>
        <rFont val="Arial"/>
        <family val="2"/>
      </rPr>
      <t> SINAPI</t>
    </r>
  </si>
  <si>
    <r>
      <t>Fonte:</t>
    </r>
    <r>
      <rPr>
        <sz val="8"/>
        <color indexed="8"/>
        <rFont val="Arial"/>
        <family val="2"/>
      </rPr>
      <t> SINAPI</t>
    </r>
  </si>
  <si>
    <t>Código Base:</t>
  </si>
  <si>
    <r>
      <t>Tabela:</t>
    </r>
    <r>
      <rPr>
        <sz val="8"/>
        <color indexed="8"/>
        <rFont val="Arial"/>
        <family val="2"/>
      </rPr>
      <t> SINAPI - ENCARGOS SOCIAIS DESONERADOS: 90,92%(HORA) 51,90%(MÊS)</t>
    </r>
  </si>
  <si>
    <r>
      <t>Data Base:</t>
    </r>
    <r>
      <rPr>
        <sz val="8"/>
        <color indexed="8"/>
        <rFont val="Arial"/>
        <family val="2"/>
      </rPr>
      <t> FEVEREIRO/2016</t>
    </r>
  </si>
  <si>
    <t>SINAPI - SISTEMA NACIONAL DE PESQUISA DE CUSTOS E ÍNDICES DA CONSTRUÇÃO CIVIL</t>
  </si>
  <si>
    <t>COMP</t>
  </si>
  <si>
    <t>ADMINISTRAÇÃO LOCAL</t>
  </si>
  <si>
    <t>78472</t>
  </si>
  <si>
    <t>SERVICOS TOPOGRAFICOS PARA PAVIMENTACAO, INCLUSIVE NOTA DE SERVICOS, A COMPANHAMENTO E GREIDE</t>
  </si>
  <si>
    <t>5.2</t>
  </si>
  <si>
    <t>PREÇO UNIT.</t>
  </si>
  <si>
    <t>3.1.2</t>
  </si>
  <si>
    <t>3.1.3</t>
  </si>
  <si>
    <t>3.1.4</t>
  </si>
  <si>
    <t>3.1.5</t>
  </si>
  <si>
    <t>3.1.6</t>
  </si>
  <si>
    <t>3.1.7</t>
  </si>
  <si>
    <t>3.1.8</t>
  </si>
  <si>
    <r>
      <t>Unidade:</t>
    </r>
    <r>
      <rPr>
        <sz val="8"/>
        <color indexed="8"/>
        <rFont val="Arial"/>
        <family val="2"/>
      </rPr>
      <t> UND</t>
    </r>
  </si>
  <si>
    <t>40870</t>
  </si>
  <si>
    <t>Micro revestimento asfáltico à frio inclusive fornecimento e transporte comercial do material betuminoso</t>
  </si>
  <si>
    <t xml:space="preserve">SINAPI </t>
  </si>
  <si>
    <t>73714</t>
  </si>
  <si>
    <t>CAIXA PARA RALO C OM GRELHA FOFO 135 KG DE ALV TIJOLO MACICO (7X10X20) PAREDES DE UMA VEZ (0.20 M) DE 0.90X1.20X1.50 M (EXTERNA) COM ARGAMASSA 1:4 CIMENTO:AREIA, BASE CONC FCK=10 MPA, EXCLUSIVE ESCAVACAO E REATERRO.</t>
  </si>
  <si>
    <t>92394</t>
  </si>
  <si>
    <t>EXECUÇÃO DE PAVIMENTO EM PISO INTERTRAVADO, COM BLOCO SEXTAVADO DE 25 X 25 CM, ESPESSURA 8 CM. AF_12/2015</t>
  </si>
  <si>
    <t>92212</t>
  </si>
  <si>
    <t>TUBO DE CONCRETO PARA REDES COLETORAS DE ÁGUAS PLUVIAIS, DIÂMETRO DE 600 MM, JUNTA RÍGIDA, INSTALADO EM LOCAL COM BAIXO NÍVEL DE INTERFERÊNCIAS - FORNECIMENTO E ASSENTAMENTO. AF_12/2015</t>
  </si>
  <si>
    <t>73763/004</t>
  </si>
  <si>
    <t>MEIO-FIO E SARJETA CONJUGADOS DE CONCRETO 15 MPA, 35 CM BASE X 30 CM ALTURA, MOLDADO "IN LOCO" COM EXTRUSORA</t>
  </si>
  <si>
    <t>BDI considerado = 28,61%</t>
  </si>
  <si>
    <t>Trincheira de concreto com profundidade de 1,50m e largura de 1,50m, grelha em vergalhão de 25mm e perfil I ou H laminado.</t>
  </si>
  <si>
    <t>3.2.4</t>
  </si>
  <si>
    <t>Corpo BSTC diâmetro 0,60 m C.S. MF inclusive escavação, reaterro e transporte do tubo</t>
  </si>
  <si>
    <t xml:space="preserve"> m </t>
  </si>
  <si>
    <t>40426</t>
  </si>
  <si>
    <t>DATA : JANEIRO DE 2016</t>
  </si>
  <si>
    <t>83532 (SINAPI)</t>
  </si>
  <si>
    <t>LASTRO DE BRITA</t>
  </si>
  <si>
    <t>74164/004 (SINAPI)</t>
  </si>
  <si>
    <t xml:space="preserve">ENCARGOS SOCIAIS DESONERADOS =90,92%.    </t>
  </si>
  <si>
    <t>BDI:28,61%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</si>
</sst>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0;[Red]#,##0.00"/>
    <numFmt numFmtId="166" formatCode="_(&quot;R$ &quot;* #,##0.00_);_(&quot;R$ &quot;* \(#,##0.00\);_(&quot;R$ &quot;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_(* #,##0.00_);_(* \(#,##0.00\);_(* &quot;-&quot;??_);_(@_)"/>
    <numFmt numFmtId="172" formatCode="000000000"/>
    <numFmt numFmtId="173" formatCode="0.000%"/>
    <numFmt numFmtId="174" formatCode="_(* #,##0.0_);_(* \(#,##0.0\);_(* &quot;-&quot;??_);_(@_)"/>
    <numFmt numFmtId="175" formatCode="_(* #,##0.0_);_(* \(#,##0.0\);_(* &quot;-&quot;?_);_(@_)"/>
    <numFmt numFmtId="176" formatCode="#,##0.000000"/>
    <numFmt numFmtId="177" formatCode="&quot;Ativado&quot;;&quot;Ativado&quot;;&quot;Desativado&quot;"/>
    <numFmt numFmtId="178" formatCode="#,##0.0000"/>
    <numFmt numFmtId="179" formatCode="#,##0.00000000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000"/>
    <numFmt numFmtId="184" formatCode="_-* #,##0.000_-;\-* #,##0.000_-;_-* &quot;-&quot;???_-;_-@_-"/>
    <numFmt numFmtId="185" formatCode="0_ ;\-0\ "/>
    <numFmt numFmtId="186" formatCode="#,##0_ ;\-#,##0\ "/>
    <numFmt numFmtId="187" formatCode="_(* #,##0_);_(* \(#,##0\);_(* &quot;-&quot;??_);_(@_)"/>
    <numFmt numFmtId="188" formatCode="0.0%"/>
    <numFmt numFmtId="189" formatCode="_(* #,##0.0000_);_(* \(#,##0.0000\);_(* &quot;-&quot;??_);_(@_)"/>
    <numFmt numFmtId="190" formatCode="_(* #,##0.0000000000_);_(* \(#,##0.0000000000\);_(* &quot;-&quot;??_);_(@_)"/>
    <numFmt numFmtId="191" formatCode="#,##0.00000"/>
    <numFmt numFmtId="192" formatCode="0.00000"/>
    <numFmt numFmtId="193" formatCode="&quot;R$ &quot;#,##0.00"/>
    <numFmt numFmtId="194" formatCode="_-* #,##0.00000_-;\-* #,##0.00000_-;_-* &quot;-&quot;?????_-;_-@_-"/>
    <numFmt numFmtId="195" formatCode="#,##0.000"/>
    <numFmt numFmtId="196" formatCode="_-* #,##0.0000_-;\-* #,##0.0000_-;_-* &quot;-&quot;????_-;_-@_-"/>
    <numFmt numFmtId="197" formatCode="[$-416]dddd\,\ d&quot; de &quot;mmmm&quot; de &quot;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552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0" fillId="12" borderId="0" xfId="0" applyFill="1" applyBorder="1" applyAlignment="1">
      <alignment vertical="center"/>
    </xf>
    <xf numFmtId="0" fontId="0" fillId="8" borderId="0" xfId="0" applyFill="1" applyBorder="1" applyAlignment="1">
      <alignment/>
    </xf>
    <xf numFmtId="43" fontId="0" fillId="8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5" fillId="0" borderId="0" xfId="59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180" fontId="0" fillId="0" borderId="0" xfId="59" applyNumberFormat="1" applyFont="1" applyFill="1" applyBorder="1" applyAlignment="1" applyProtection="1">
      <alignment horizontal="center" vertical="center" wrapText="1"/>
      <protection locked="0"/>
    </xf>
    <xf numFmtId="184" fontId="0" fillId="0" borderId="0" xfId="0" applyNumberFormat="1" applyFill="1" applyBorder="1" applyAlignment="1">
      <alignment vertical="center"/>
    </xf>
    <xf numFmtId="43" fontId="0" fillId="0" borderId="0" xfId="59" applyFont="1" applyFill="1" applyBorder="1" applyAlignment="1">
      <alignment/>
    </xf>
    <xf numFmtId="43" fontId="0" fillId="0" borderId="0" xfId="59" applyFont="1" applyFill="1" applyBorder="1" applyAlignment="1">
      <alignment horizontal="left"/>
    </xf>
    <xf numFmtId="43" fontId="0" fillId="0" borderId="0" xfId="59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>
      <alignment horizontal="center" vertical="top" wrapText="1"/>
    </xf>
    <xf numFmtId="43" fontId="63" fillId="8" borderId="0" xfId="59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justify"/>
    </xf>
    <xf numFmtId="49" fontId="62" fillId="0" borderId="0" xfId="0" applyNumberFormat="1" applyFont="1" applyFill="1" applyAlignment="1">
      <alignment horizontal="center"/>
    </xf>
    <xf numFmtId="43" fontId="64" fillId="0" borderId="10" xfId="59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64" fillId="6" borderId="10" xfId="0" applyFont="1" applyFill="1" applyBorder="1" applyAlignment="1">
      <alignment vertical="center" wrapText="1"/>
    </xf>
    <xf numFmtId="1" fontId="6" fillId="12" borderId="10" xfId="0" applyNumberFormat="1" applyFont="1" applyFill="1" applyBorder="1" applyAlignment="1">
      <alignment horizontal="center" vertical="center" wrapText="1"/>
    </xf>
    <xf numFmtId="49" fontId="6" fillId="12" borderId="10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4" applyNumberFormat="1" applyFont="1" applyFill="1" applyBorder="1" applyAlignment="1">
      <alignment vertical="center" wrapText="1"/>
      <protection/>
    </xf>
    <xf numFmtId="49" fontId="7" fillId="0" borderId="0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1" fontId="6" fillId="12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2" fillId="0" borderId="0" xfId="0" applyFont="1" applyFill="1" applyAlignment="1">
      <alignment wrapText="1"/>
    </xf>
    <xf numFmtId="4" fontId="7" fillId="12" borderId="10" xfId="59" applyNumberFormat="1" applyFont="1" applyFill="1" applyBorder="1" applyAlignment="1">
      <alignment vertical="center" wrapText="1"/>
    </xf>
    <xf numFmtId="4" fontId="7" fillId="12" borderId="10" xfId="59" applyNumberFormat="1" applyFont="1" applyFill="1" applyBorder="1" applyAlignment="1">
      <alignment horizontal="right" vertical="center" wrapText="1"/>
    </xf>
    <xf numFmtId="4" fontId="64" fillId="0" borderId="10" xfId="59" applyNumberFormat="1" applyFont="1" applyFill="1" applyBorder="1" applyAlignment="1">
      <alignment horizontal="center" vertical="center" wrapText="1"/>
    </xf>
    <xf numFmtId="4" fontId="7" fillId="0" borderId="0" xfId="59" applyNumberFormat="1" applyFont="1" applyFill="1" applyBorder="1" applyAlignment="1">
      <alignment wrapText="1"/>
    </xf>
    <xf numFmtId="4" fontId="7" fillId="0" borderId="0" xfId="59" applyNumberFormat="1" applyFont="1" applyFill="1" applyBorder="1" applyAlignment="1">
      <alignment horizontal="right" wrapText="1"/>
    </xf>
    <xf numFmtId="4" fontId="7" fillId="0" borderId="0" xfId="59" applyNumberFormat="1" applyFont="1" applyBorder="1" applyAlignment="1">
      <alignment horizontal="right" wrapText="1"/>
    </xf>
    <xf numFmtId="4" fontId="3" fillId="0" borderId="0" xfId="59" applyNumberFormat="1" applyFont="1" applyFill="1" applyBorder="1" applyAlignment="1">
      <alignment wrapText="1"/>
    </xf>
    <xf numFmtId="4" fontId="3" fillId="0" borderId="0" xfId="59" applyNumberFormat="1" applyFont="1" applyFill="1" applyBorder="1" applyAlignment="1">
      <alignment horizontal="right" wrapText="1"/>
    </xf>
    <xf numFmtId="4" fontId="3" fillId="0" borderId="0" xfId="59" applyNumberFormat="1" applyFont="1" applyBorder="1" applyAlignment="1">
      <alignment horizontal="right" wrapText="1"/>
    </xf>
    <xf numFmtId="4" fontId="0" fillId="0" borderId="0" xfId="59" applyNumberFormat="1" applyFont="1" applyFill="1" applyBorder="1" applyAlignment="1">
      <alignment vertical="center" wrapText="1"/>
    </xf>
    <xf numFmtId="4" fontId="0" fillId="0" borderId="0" xfId="59" applyNumberFormat="1" applyFont="1" applyFill="1" applyBorder="1" applyAlignment="1">
      <alignment horizontal="right" vertical="center" wrapText="1"/>
    </xf>
    <xf numFmtId="4" fontId="0" fillId="0" borderId="0" xfId="59" applyNumberFormat="1" applyFont="1" applyFill="1" applyBorder="1" applyAlignment="1">
      <alignment horizontal="right" wrapText="1"/>
    </xf>
    <xf numFmtId="4" fontId="7" fillId="12" borderId="12" xfId="59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/>
    </xf>
    <xf numFmtId="0" fontId="64" fillId="0" borderId="11" xfId="0" applyFont="1" applyFill="1" applyBorder="1" applyAlignment="1">
      <alignment vertical="center" wrapText="1"/>
    </xf>
    <xf numFmtId="43" fontId="66" fillId="33" borderId="13" xfId="59" applyFont="1" applyFill="1" applyBorder="1" applyAlignment="1">
      <alignment horizontal="right" vertical="center"/>
    </xf>
    <xf numFmtId="43" fontId="67" fillId="33" borderId="13" xfId="59" applyFont="1" applyFill="1" applyBorder="1" applyAlignment="1">
      <alignment horizontal="right" vertical="center"/>
    </xf>
    <xf numFmtId="43" fontId="68" fillId="33" borderId="13" xfId="59" applyFont="1" applyFill="1" applyBorder="1" applyAlignment="1">
      <alignment horizontal="right" vertical="center"/>
    </xf>
    <xf numFmtId="43" fontId="63" fillId="8" borderId="14" xfId="59" applyFont="1" applyFill="1" applyBorder="1" applyAlignment="1">
      <alignment horizontal="right" vertical="center"/>
    </xf>
    <xf numFmtId="43" fontId="63" fillId="8" borderId="13" xfId="59" applyFont="1" applyFill="1" applyBorder="1" applyAlignment="1">
      <alignment horizontal="right" vertical="center"/>
    </xf>
    <xf numFmtId="43" fontId="63" fillId="8" borderId="15" xfId="59" applyFont="1" applyFill="1" applyBorder="1" applyAlignment="1">
      <alignment horizontal="right" vertical="center"/>
    </xf>
    <xf numFmtId="4" fontId="64" fillId="0" borderId="10" xfId="59" applyNumberFormat="1" applyFont="1" applyFill="1" applyBorder="1" applyAlignment="1">
      <alignment horizontal="right" vertical="center" wrapText="1"/>
    </xf>
    <xf numFmtId="49" fontId="64" fillId="0" borderId="10" xfId="0" applyNumberFormat="1" applyFont="1" applyBorder="1" applyAlignment="1">
      <alignment vertical="center"/>
    </xf>
    <xf numFmtId="4" fontId="64" fillId="0" borderId="10" xfId="0" applyNumberFormat="1" applyFont="1" applyBorder="1" applyAlignment="1">
      <alignment vertical="center" wrapText="1"/>
    </xf>
    <xf numFmtId="4" fontId="64" fillId="0" borderId="10" xfId="59" applyNumberFormat="1" applyFont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vertical="center" wrapText="1"/>
    </xf>
    <xf numFmtId="4" fontId="65" fillId="0" borderId="10" xfId="0" applyNumberFormat="1" applyFont="1" applyFill="1" applyBorder="1" applyAlignment="1">
      <alignment vertical="center" wrapText="1"/>
    </xf>
    <xf numFmtId="0" fontId="65" fillId="12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right" vertical="center" wrapText="1"/>
    </xf>
    <xf numFmtId="0" fontId="65" fillId="34" borderId="10" xfId="0" applyFont="1" applyFill="1" applyBorder="1" applyAlignment="1">
      <alignment vertical="center" wrapText="1"/>
    </xf>
    <xf numFmtId="4" fontId="65" fillId="34" borderId="10" xfId="0" applyNumberFormat="1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0" fontId="65" fillId="12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right" vertical="center" wrapText="1"/>
    </xf>
    <xf numFmtId="0" fontId="65" fillId="34" borderId="11" xfId="0" applyFont="1" applyFill="1" applyBorder="1" applyAlignment="1">
      <alignment vertical="center" wrapText="1"/>
    </xf>
    <xf numFmtId="2" fontId="7" fillId="0" borderId="16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43" fontId="68" fillId="34" borderId="15" xfId="59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64" fillId="34" borderId="10" xfId="0" applyFont="1" applyFill="1" applyBorder="1" applyAlignment="1">
      <alignment horizontal="center" vertical="center" wrapText="1"/>
    </xf>
    <xf numFmtId="4" fontId="64" fillId="34" borderId="10" xfId="59" applyNumberFormat="1" applyFont="1" applyFill="1" applyBorder="1" applyAlignment="1">
      <alignment horizontal="center" vertical="center" wrapText="1"/>
    </xf>
    <xf numFmtId="43" fontId="0" fillId="34" borderId="0" xfId="59" applyFont="1" applyFill="1" applyBorder="1" applyAlignment="1" applyProtection="1">
      <alignment horizontal="center" vertical="center" wrapText="1"/>
      <protection locked="0"/>
    </xf>
    <xf numFmtId="184" fontId="0" fillId="34" borderId="0" xfId="0" applyNumberFormat="1" applyFill="1" applyBorder="1" applyAlignment="1">
      <alignment vertical="center"/>
    </xf>
    <xf numFmtId="0" fontId="64" fillId="34" borderId="11" xfId="0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43" fontId="64" fillId="34" borderId="10" xfId="59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 wrapText="1"/>
    </xf>
    <xf numFmtId="180" fontId="0" fillId="34" borderId="0" xfId="59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vertical="center" wrapText="1"/>
    </xf>
    <xf numFmtId="4" fontId="64" fillId="0" borderId="18" xfId="59" applyNumberFormat="1" applyFont="1" applyFill="1" applyBorder="1" applyAlignment="1">
      <alignment horizontal="right" vertical="center" wrapText="1"/>
    </xf>
    <xf numFmtId="4" fontId="65" fillId="8" borderId="18" xfId="59" applyNumberFormat="1" applyFont="1" applyFill="1" applyBorder="1" applyAlignment="1">
      <alignment horizontal="right" vertical="center" wrapText="1"/>
    </xf>
    <xf numFmtId="43" fontId="5" fillId="0" borderId="15" xfId="59" applyFont="1" applyFill="1" applyBorder="1" applyAlignment="1">
      <alignment horizontal="right" vertical="center" wrapText="1"/>
    </xf>
    <xf numFmtId="4" fontId="65" fillId="0" borderId="12" xfId="59" applyNumberFormat="1" applyFont="1" applyFill="1" applyBorder="1" applyAlignment="1">
      <alignment horizontal="right" vertical="center" wrapText="1"/>
    </xf>
    <xf numFmtId="4" fontId="64" fillId="0" borderId="12" xfId="59" applyNumberFormat="1" applyFont="1" applyFill="1" applyBorder="1" applyAlignment="1">
      <alignment horizontal="right" vertical="center" wrapText="1"/>
    </xf>
    <xf numFmtId="4" fontId="65" fillId="33" borderId="12" xfId="59" applyNumberFormat="1" applyFont="1" applyFill="1" applyBorder="1" applyAlignment="1">
      <alignment horizontal="right" vertical="center" wrapText="1"/>
    </xf>
    <xf numFmtId="4" fontId="65" fillId="8" borderId="12" xfId="59" applyNumberFormat="1" applyFont="1" applyFill="1" applyBorder="1" applyAlignment="1">
      <alignment horizontal="right" vertical="center" wrapText="1"/>
    </xf>
    <xf numFmtId="4" fontId="64" fillId="34" borderId="12" xfId="59" applyNumberFormat="1" applyFont="1" applyFill="1" applyBorder="1" applyAlignment="1">
      <alignment horizontal="right" vertical="center" wrapText="1"/>
    </xf>
    <xf numFmtId="4" fontId="64" fillId="0" borderId="12" xfId="0" applyNumberFormat="1" applyFont="1" applyBorder="1" applyAlignment="1">
      <alignment vertical="center" wrapText="1"/>
    </xf>
    <xf numFmtId="4" fontId="65" fillId="34" borderId="12" xfId="59" applyNumberFormat="1" applyFont="1" applyFill="1" applyBorder="1" applyAlignment="1">
      <alignment horizontal="right" vertical="center" wrapText="1"/>
    </xf>
    <xf numFmtId="4" fontId="65" fillId="0" borderId="12" xfId="0" applyNumberFormat="1" applyFont="1" applyFill="1" applyBorder="1" applyAlignment="1">
      <alignment vertical="center" wrapText="1"/>
    </xf>
    <xf numFmtId="4" fontId="65" fillId="34" borderId="12" xfId="0" applyNumberFormat="1" applyFont="1" applyFill="1" applyBorder="1" applyAlignment="1">
      <alignment vertical="center" wrapText="1"/>
    </xf>
    <xf numFmtId="2" fontId="7" fillId="0" borderId="19" xfId="0" applyNumberFormat="1" applyFont="1" applyBorder="1" applyAlignment="1">
      <alignment vertical="center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65" fillId="0" borderId="21" xfId="0" applyFont="1" applyFill="1" applyBorder="1" applyAlignment="1" applyProtection="1">
      <alignment horizontal="center" vertical="center" wrapText="1"/>
      <protection locked="0"/>
    </xf>
    <xf numFmtId="49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21" xfId="59" applyNumberFormat="1" applyFont="1" applyFill="1" applyBorder="1" applyAlignment="1" applyProtection="1">
      <alignment horizontal="center" vertical="center" wrapText="1"/>
      <protection locked="0"/>
    </xf>
    <xf numFmtId="4" fontId="65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65" fillId="12" borderId="10" xfId="0" applyFont="1" applyFill="1" applyBorder="1" applyAlignment="1">
      <alignment horizontal="center" vertical="center"/>
    </xf>
    <xf numFmtId="49" fontId="65" fillId="12" borderId="10" xfId="0" applyNumberFormat="1" applyFont="1" applyFill="1" applyBorder="1" applyAlignment="1">
      <alignment horizontal="center" vertical="center"/>
    </xf>
    <xf numFmtId="4" fontId="65" fillId="12" borderId="10" xfId="59" applyNumberFormat="1" applyFont="1" applyFill="1" applyBorder="1" applyAlignment="1">
      <alignment horizontal="center" vertical="center" wrapText="1"/>
    </xf>
    <xf numFmtId="4" fontId="65" fillId="12" borderId="10" xfId="59" applyNumberFormat="1" applyFont="1" applyFill="1" applyBorder="1" applyAlignment="1">
      <alignment horizontal="right" vertical="center" wrapText="1"/>
    </xf>
    <xf numFmtId="4" fontId="65" fillId="12" borderId="12" xfId="59" applyNumberFormat="1" applyFont="1" applyFill="1" applyBorder="1" applyAlignment="1">
      <alignment horizontal="right" vertical="center" wrapText="1"/>
    </xf>
    <xf numFmtId="1" fontId="6" fillId="6" borderId="11" xfId="0" applyNumberFormat="1" applyFont="1" applyFill="1" applyBorder="1" applyAlignment="1">
      <alignment horizontal="center" vertical="center" wrapText="1"/>
    </xf>
    <xf numFmtId="1" fontId="6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" fontId="7" fillId="6" borderId="10" xfId="59" applyNumberFormat="1" applyFont="1" applyFill="1" applyBorder="1" applyAlignment="1">
      <alignment vertical="center" wrapText="1"/>
    </xf>
    <xf numFmtId="4" fontId="7" fillId="6" borderId="10" xfId="59" applyNumberFormat="1" applyFont="1" applyFill="1" applyBorder="1" applyAlignment="1">
      <alignment horizontal="right" vertical="center" wrapText="1"/>
    </xf>
    <xf numFmtId="4" fontId="6" fillId="6" borderId="12" xfId="59" applyNumberFormat="1" applyFont="1" applyFill="1" applyBorder="1" applyAlignment="1">
      <alignment horizontal="right" vertical="center" wrapText="1"/>
    </xf>
    <xf numFmtId="0" fontId="65" fillId="0" borderId="11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>
      <alignment horizontal="justify" vertical="justify" wrapText="1"/>
    </xf>
    <xf numFmtId="0" fontId="65" fillId="0" borderId="10" xfId="0" applyFont="1" applyFill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 vertical="justify" wrapText="1"/>
    </xf>
    <xf numFmtId="0" fontId="7" fillId="34" borderId="10" xfId="0" applyFont="1" applyFill="1" applyBorder="1" applyAlignment="1">
      <alignment horizontal="justify" vertical="justify" wrapText="1"/>
    </xf>
    <xf numFmtId="49" fontId="7" fillId="0" borderId="10" xfId="0" applyNumberFormat="1" applyFont="1" applyFill="1" applyBorder="1" applyAlignment="1">
      <alignment horizontal="justify" vertical="justify" wrapText="1"/>
    </xf>
    <xf numFmtId="2" fontId="7" fillId="0" borderId="10" xfId="54" applyNumberFormat="1" applyFont="1" applyFill="1" applyBorder="1" applyAlignment="1">
      <alignment horizontal="justify" vertical="justify" wrapText="1"/>
      <protection/>
    </xf>
    <xf numFmtId="0" fontId="65" fillId="34" borderId="10" xfId="0" applyFont="1" applyFill="1" applyBorder="1" applyAlignment="1">
      <alignment horizontal="justify" vertical="justify" wrapText="1"/>
    </xf>
    <xf numFmtId="2" fontId="7" fillId="0" borderId="17" xfId="0" applyNumberFormat="1" applyFont="1" applyBorder="1" applyAlignment="1">
      <alignment horizontal="justify" vertical="justify"/>
    </xf>
    <xf numFmtId="0" fontId="7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justify" wrapText="1"/>
    </xf>
    <xf numFmtId="0" fontId="62" fillId="0" borderId="0" xfId="0" applyFont="1" applyFill="1" applyAlignment="1">
      <alignment horizontal="justify" vertical="justify" wrapText="1"/>
    </xf>
    <xf numFmtId="0" fontId="65" fillId="12" borderId="10" xfId="0" applyFont="1" applyFill="1" applyBorder="1" applyAlignment="1">
      <alignment horizontal="center" vertical="justify" wrapText="1"/>
    </xf>
    <xf numFmtId="0" fontId="64" fillId="6" borderId="10" xfId="0" applyFont="1" applyFill="1" applyBorder="1" applyAlignment="1">
      <alignment horizontal="center" vertical="justify" wrapText="1"/>
    </xf>
    <xf numFmtId="0" fontId="64" fillId="12" borderId="10" xfId="0" applyFont="1" applyFill="1" applyBorder="1" applyAlignment="1">
      <alignment vertical="center" wrapText="1"/>
    </xf>
    <xf numFmtId="4" fontId="6" fillId="12" borderId="12" xfId="59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43" fontId="68" fillId="33" borderId="15" xfId="59" applyFont="1" applyFill="1" applyBorder="1" applyAlignment="1">
      <alignment horizontal="right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4" fontId="65" fillId="0" borderId="26" xfId="59" applyNumberFormat="1" applyFont="1" applyFill="1" applyBorder="1" applyAlignment="1">
      <alignment horizontal="right" vertical="center" wrapText="1"/>
    </xf>
    <xf numFmtId="49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10" xfId="59" applyNumberFormat="1" applyFont="1" applyFill="1" applyBorder="1" applyAlignment="1" applyProtection="1">
      <alignment horizontal="center" vertical="center" wrapText="1"/>
      <protection locked="0"/>
    </xf>
    <xf numFmtId="4" fontId="65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0" xfId="0" applyNumberFormat="1" applyFill="1" applyBorder="1" applyAlignment="1">
      <alignment/>
    </xf>
    <xf numFmtId="4" fontId="0" fillId="34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4" fontId="0" fillId="12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2" fontId="7" fillId="0" borderId="0" xfId="0" applyNumberFormat="1" applyFont="1" applyBorder="1" applyAlignment="1">
      <alignment vertical="center"/>
    </xf>
    <xf numFmtId="43" fontId="9" fillId="0" borderId="29" xfId="0" applyNumberFormat="1" applyFont="1" applyFill="1" applyBorder="1" applyAlignment="1">
      <alignment vertical="center" textRotation="90"/>
    </xf>
    <xf numFmtId="43" fontId="9" fillId="0" borderId="30" xfId="0" applyNumberFormat="1" applyFont="1" applyFill="1" applyBorder="1" applyAlignment="1">
      <alignment vertical="center" textRotation="90"/>
    </xf>
    <xf numFmtId="43" fontId="9" fillId="0" borderId="31" xfId="0" applyNumberFormat="1" applyFont="1" applyFill="1" applyBorder="1" applyAlignment="1">
      <alignment vertical="center" textRotation="90"/>
    </xf>
    <xf numFmtId="43" fontId="9" fillId="0" borderId="32" xfId="0" applyNumberFormat="1" applyFont="1" applyFill="1" applyBorder="1" applyAlignment="1">
      <alignment vertical="center" textRotation="90"/>
    </xf>
    <xf numFmtId="43" fontId="9" fillId="0" borderId="33" xfId="0" applyNumberFormat="1" applyFont="1" applyFill="1" applyBorder="1" applyAlignment="1">
      <alignment vertical="center" textRotation="90"/>
    </xf>
    <xf numFmtId="10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justify"/>
    </xf>
    <xf numFmtId="43" fontId="8" fillId="0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vertical="justify"/>
    </xf>
    <xf numFmtId="0" fontId="5" fillId="35" borderId="11" xfId="0" applyFont="1" applyFill="1" applyBorder="1" applyAlignment="1">
      <alignment/>
    </xf>
    <xf numFmtId="10" fontId="5" fillId="35" borderId="10" xfId="59" applyNumberFormat="1" applyFont="1" applyFill="1" applyBorder="1" applyAlignment="1">
      <alignment/>
    </xf>
    <xf numFmtId="4" fontId="5" fillId="35" borderId="10" xfId="59" applyNumberFormat="1" applyFont="1" applyFill="1" applyBorder="1" applyAlignment="1">
      <alignment/>
    </xf>
    <xf numFmtId="10" fontId="8" fillId="10" borderId="10" xfId="0" applyNumberFormat="1" applyFont="1" applyFill="1" applyBorder="1" applyAlignment="1">
      <alignment horizontal="center"/>
    </xf>
    <xf numFmtId="43" fontId="5" fillId="10" borderId="10" xfId="59" applyFont="1" applyFill="1" applyBorder="1" applyAlignment="1">
      <alignment/>
    </xf>
    <xf numFmtId="10" fontId="8" fillId="6" borderId="2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 wrapText="1"/>
    </xf>
    <xf numFmtId="4" fontId="69" fillId="33" borderId="10" xfId="59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center"/>
    </xf>
    <xf numFmtId="43" fontId="8" fillId="0" borderId="0" xfId="59" applyFont="1" applyFill="1" applyBorder="1" applyAlignment="1">
      <alignment/>
    </xf>
    <xf numFmtId="1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43" fontId="9" fillId="0" borderId="34" xfId="0" applyNumberFormat="1" applyFont="1" applyFill="1" applyBorder="1" applyAlignment="1">
      <alignment vertical="center" textRotation="90"/>
    </xf>
    <xf numFmtId="43" fontId="9" fillId="0" borderId="0" xfId="0" applyNumberFormat="1" applyFont="1" applyFill="1" applyBorder="1" applyAlignment="1">
      <alignment vertical="center" textRotation="90"/>
    </xf>
    <xf numFmtId="43" fontId="9" fillId="0" borderId="35" xfId="0" applyNumberFormat="1" applyFont="1" applyFill="1" applyBorder="1" applyAlignment="1">
      <alignment vertical="center" textRotation="90"/>
    </xf>
    <xf numFmtId="4" fontId="8" fillId="0" borderId="12" xfId="0" applyNumberFormat="1" applyFont="1" applyFill="1" applyBorder="1" applyAlignment="1">
      <alignment horizontal="center"/>
    </xf>
    <xf numFmtId="43" fontId="5" fillId="10" borderId="12" xfId="59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6" borderId="36" xfId="0" applyFont="1" applyFill="1" applyBorder="1" applyAlignment="1">
      <alignment horizontal="right"/>
    </xf>
    <xf numFmtId="0" fontId="8" fillId="6" borderId="23" xfId="0" applyFont="1" applyFill="1" applyBorder="1" applyAlignment="1">
      <alignment horizontal="right"/>
    </xf>
    <xf numFmtId="171" fontId="8" fillId="6" borderId="23" xfId="0" applyNumberFormat="1" applyFont="1" applyFill="1" applyBorder="1" applyAlignment="1">
      <alignment/>
    </xf>
    <xf numFmtId="43" fontId="8" fillId="6" borderId="23" xfId="59" applyFont="1" applyFill="1" applyBorder="1" applyAlignment="1">
      <alignment/>
    </xf>
    <xf numFmtId="43" fontId="8" fillId="6" borderId="37" xfId="59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/>
      <protection locked="0"/>
    </xf>
    <xf numFmtId="43" fontId="63" fillId="0" borderId="15" xfId="59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left" vertical="center" wrapText="1"/>
    </xf>
    <xf numFmtId="4" fontId="64" fillId="0" borderId="18" xfId="59" applyNumberFormat="1" applyFont="1" applyFill="1" applyBorder="1" applyAlignment="1">
      <alignment horizontal="center" vertical="center" wrapText="1"/>
    </xf>
    <xf numFmtId="4" fontId="7" fillId="0" borderId="10" xfId="59" applyNumberFormat="1" applyFont="1" applyFill="1" applyBorder="1" applyAlignment="1">
      <alignment horizontal="center" vertical="center" wrapText="1"/>
    </xf>
    <xf numFmtId="4" fontId="6" fillId="0" borderId="37" xfId="59" applyNumberFormat="1" applyFont="1" applyFill="1" applyBorder="1" applyAlignment="1">
      <alignment horizontal="right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43" fontId="8" fillId="0" borderId="0" xfId="59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" fontId="2" fillId="0" borderId="0" xfId="0" applyNumberFormat="1" applyFont="1" applyBorder="1" applyAlignment="1">
      <alignment vertical="center"/>
    </xf>
    <xf numFmtId="2" fontId="2" fillId="0" borderId="28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2" fontId="7" fillId="0" borderId="27" xfId="0" applyNumberFormat="1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65" fillId="33" borderId="18" xfId="0" applyFont="1" applyFill="1" applyBorder="1" applyAlignment="1">
      <alignment horizontal="center" vertical="center" wrapText="1"/>
    </xf>
    <xf numFmtId="0" fontId="65" fillId="8" borderId="1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4" fontId="65" fillId="12" borderId="18" xfId="59" applyNumberFormat="1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16" fontId="6" fillId="0" borderId="38" xfId="0" applyNumberFormat="1" applyFont="1" applyFill="1" applyBorder="1" applyAlignment="1">
      <alignment horizontal="center" vertical="center" wrapText="1"/>
    </xf>
    <xf numFmtId="4" fontId="65" fillId="12" borderId="12" xfId="59" applyNumberFormat="1" applyFont="1" applyFill="1" applyBorder="1" applyAlignment="1">
      <alignment horizontal="center" vertical="center" wrapText="1"/>
    </xf>
    <xf numFmtId="4" fontId="64" fillId="0" borderId="12" xfId="59" applyNumberFormat="1" applyFont="1" applyFill="1" applyBorder="1" applyAlignment="1">
      <alignment horizontal="center" vertical="center" wrapText="1"/>
    </xf>
    <xf numFmtId="4" fontId="65" fillId="33" borderId="12" xfId="59" applyNumberFormat="1" applyFont="1" applyFill="1" applyBorder="1" applyAlignment="1">
      <alignment horizontal="center" vertical="center" wrapText="1"/>
    </xf>
    <xf numFmtId="4" fontId="65" fillId="8" borderId="12" xfId="59" applyNumberFormat="1" applyFont="1" applyFill="1" applyBorder="1" applyAlignment="1">
      <alignment horizontal="center" vertical="center" wrapText="1"/>
    </xf>
    <xf numFmtId="4" fontId="65" fillId="0" borderId="12" xfId="59" applyNumberFormat="1" applyFont="1" applyFill="1" applyBorder="1" applyAlignment="1">
      <alignment horizontal="center" vertical="center" wrapText="1"/>
    </xf>
    <xf numFmtId="4" fontId="64" fillId="34" borderId="12" xfId="59" applyNumberFormat="1" applyFont="1" applyFill="1" applyBorder="1" applyAlignment="1">
      <alignment horizontal="center" vertical="center" wrapText="1"/>
    </xf>
    <xf numFmtId="4" fontId="7" fillId="6" borderId="10" xfId="59" applyNumberFormat="1" applyFont="1" applyFill="1" applyBorder="1" applyAlignment="1">
      <alignment horizontal="center" vertical="center" wrapText="1"/>
    </xf>
    <xf numFmtId="4" fontId="6" fillId="6" borderId="12" xfId="59" applyNumberFormat="1" applyFont="1" applyFill="1" applyBorder="1" applyAlignment="1">
      <alignment horizontal="center" vertical="center" wrapText="1"/>
    </xf>
    <xf numFmtId="4" fontId="65" fillId="34" borderId="12" xfId="59" applyNumberFormat="1" applyFont="1" applyFill="1" applyBorder="1" applyAlignment="1">
      <alignment horizontal="center" vertical="center" wrapText="1"/>
    </xf>
    <xf numFmtId="4" fontId="7" fillId="6" borderId="18" xfId="59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4" fontId="65" fillId="0" borderId="18" xfId="0" applyNumberFormat="1" applyFont="1" applyFill="1" applyBorder="1" applyAlignment="1">
      <alignment horizontal="center" vertical="center" wrapText="1"/>
    </xf>
    <xf numFmtId="4" fontId="65" fillId="0" borderId="12" xfId="0" applyNumberFormat="1" applyFont="1" applyFill="1" applyBorder="1" applyAlignment="1">
      <alignment horizontal="center" vertical="center" wrapText="1"/>
    </xf>
    <xf numFmtId="4" fontId="7" fillId="12" borderId="10" xfId="59" applyNumberFormat="1" applyFont="1" applyFill="1" applyBorder="1" applyAlignment="1">
      <alignment horizontal="center" vertical="center" wrapText="1"/>
    </xf>
    <xf numFmtId="4" fontId="7" fillId="12" borderId="18" xfId="59" applyNumberFormat="1" applyFont="1" applyFill="1" applyBorder="1" applyAlignment="1">
      <alignment horizontal="center" vertical="center" wrapText="1"/>
    </xf>
    <xf numFmtId="4" fontId="7" fillId="12" borderId="12" xfId="59" applyNumberFormat="1" applyFont="1" applyFill="1" applyBorder="1" applyAlignment="1">
      <alignment horizontal="center" vertical="center" wrapText="1"/>
    </xf>
    <xf numFmtId="4" fontId="65" fillId="34" borderId="10" xfId="0" applyNumberFormat="1" applyFont="1" applyFill="1" applyBorder="1" applyAlignment="1">
      <alignment horizontal="center" vertical="center" wrapText="1"/>
    </xf>
    <xf numFmtId="4" fontId="65" fillId="34" borderId="18" xfId="0" applyNumberFormat="1" applyFont="1" applyFill="1" applyBorder="1" applyAlignment="1">
      <alignment horizontal="center" vertical="center" wrapText="1"/>
    </xf>
    <xf numFmtId="4" fontId="65" fillId="34" borderId="12" xfId="0" applyNumberFormat="1" applyFont="1" applyFill="1" applyBorder="1" applyAlignment="1">
      <alignment horizontal="center" vertical="center" wrapText="1"/>
    </xf>
    <xf numFmtId="4" fontId="65" fillId="0" borderId="28" xfId="59" applyNumberFormat="1" applyFont="1" applyFill="1" applyBorder="1" applyAlignment="1">
      <alignment horizontal="center" vertical="center" wrapText="1"/>
    </xf>
    <xf numFmtId="4" fontId="6" fillId="0" borderId="37" xfId="59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4" fontId="0" fillId="0" borderId="0" xfId="59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59" applyNumberFormat="1" applyFont="1" applyFill="1" applyBorder="1" applyAlignment="1">
      <alignment horizontal="center" vertical="center" wrapText="1"/>
    </xf>
    <xf numFmtId="4" fontId="7" fillId="0" borderId="0" xfId="59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59" applyNumberFormat="1" applyFont="1" applyFill="1" applyBorder="1" applyAlignment="1">
      <alignment horizontal="center" vertical="center" wrapText="1"/>
    </xf>
    <xf numFmtId="4" fontId="3" fillId="0" borderId="0" xfId="59" applyNumberFormat="1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2" fontId="70" fillId="0" borderId="13" xfId="0" applyNumberFormat="1" applyFont="1" applyBorder="1" applyAlignment="1">
      <alignment horizontal="left" vertical="center"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8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16" fontId="6" fillId="0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 applyProtection="1">
      <alignment horizontal="center" vertical="center" wrapText="1"/>
      <protection locked="0"/>
    </xf>
    <xf numFmtId="2" fontId="7" fillId="0" borderId="3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vertical="center"/>
    </xf>
    <xf numFmtId="191" fontId="11" fillId="0" borderId="10" xfId="62" applyNumberFormat="1" applyFont="1" applyBorder="1" applyAlignment="1" applyProtection="1">
      <alignment horizontal="center" vertical="center" wrapText="1"/>
      <protection hidden="1"/>
    </xf>
    <xf numFmtId="0" fontId="71" fillId="0" borderId="0" xfId="51" applyFont="1" applyAlignment="1">
      <alignment horizontal="left" vertical="center" wrapText="1"/>
      <protection/>
    </xf>
    <xf numFmtId="0" fontId="71" fillId="0" borderId="0" xfId="51" applyFont="1" applyAlignment="1">
      <alignment horizontal="center" vertical="center" wrapText="1"/>
      <protection/>
    </xf>
    <xf numFmtId="0" fontId="11" fillId="0" borderId="10" xfId="52" applyFont="1" applyBorder="1" applyAlignment="1" applyProtection="1">
      <alignment horizontal="center" vertical="center" wrapText="1"/>
      <protection hidden="1"/>
    </xf>
    <xf numFmtId="0" fontId="11" fillId="34" borderId="10" xfId="52" applyFont="1" applyFill="1" applyBorder="1" applyAlignment="1" applyProtection="1">
      <alignment horizontal="center" vertical="center" wrapText="1"/>
      <protection hidden="1"/>
    </xf>
    <xf numFmtId="4" fontId="71" fillId="0" borderId="0" xfId="51" applyNumberFormat="1" applyFont="1" applyAlignment="1">
      <alignment wrapText="1"/>
      <protection/>
    </xf>
    <xf numFmtId="4" fontId="71" fillId="0" borderId="10" xfId="51" applyNumberFormat="1" applyFont="1" applyBorder="1" applyAlignment="1">
      <alignment wrapText="1"/>
      <protection/>
    </xf>
    <xf numFmtId="0" fontId="71" fillId="0" borderId="0" xfId="51" applyFont="1" applyAlignment="1">
      <alignment wrapText="1"/>
      <protection/>
    </xf>
    <xf numFmtId="0" fontId="71" fillId="34" borderId="0" xfId="51" applyFont="1" applyFill="1" applyAlignment="1">
      <alignment horizontal="center" vertical="center" wrapText="1"/>
      <protection/>
    </xf>
    <xf numFmtId="0" fontId="11" fillId="0" borderId="10" xfId="52" applyFont="1" applyFill="1" applyBorder="1" applyAlignment="1" applyProtection="1">
      <alignment horizontal="center" vertical="center" wrapText="1"/>
      <protection hidden="1"/>
    </xf>
    <xf numFmtId="171" fontId="11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left" vertical="center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11" fillId="0" borderId="0" xfId="52" applyFont="1" applyFill="1" applyBorder="1" applyAlignment="1" applyProtection="1">
      <alignment horizontal="center" vertical="center" wrapText="1"/>
      <protection hidden="1"/>
    </xf>
    <xf numFmtId="191" fontId="11" fillId="0" borderId="0" xfId="62" applyNumberFormat="1" applyFont="1" applyFill="1" applyBorder="1" applyAlignment="1" applyProtection="1">
      <alignment horizontal="center" vertical="center" wrapText="1"/>
      <protection hidden="1"/>
    </xf>
    <xf numFmtId="171" fontId="11" fillId="0" borderId="0" xfId="62" applyNumberFormat="1" applyFont="1" applyFill="1" applyBorder="1" applyAlignment="1" applyProtection="1">
      <alignment horizontal="center" vertical="center" wrapText="1"/>
      <protection hidden="1"/>
    </xf>
    <xf numFmtId="4" fontId="10" fillId="0" borderId="0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2" applyFont="1" applyFill="1" applyBorder="1" applyAlignment="1" applyProtection="1">
      <alignment horizontal="center" vertical="center" wrapText="1"/>
      <protection hidden="1"/>
    </xf>
    <xf numFmtId="4" fontId="71" fillId="0" borderId="0" xfId="51" applyNumberFormat="1" applyFont="1" applyBorder="1" applyAlignment="1">
      <alignment wrapText="1"/>
      <protection/>
    </xf>
    <xf numFmtId="0" fontId="71" fillId="0" borderId="0" xfId="51" applyFont="1" applyBorder="1" applyAlignment="1">
      <alignment wrapText="1"/>
      <protection/>
    </xf>
    <xf numFmtId="0" fontId="11" fillId="0" borderId="43" xfId="52" applyFont="1" applyBorder="1" applyAlignment="1" applyProtection="1">
      <alignment horizontal="center" vertical="center" wrapText="1"/>
      <protection hidden="1"/>
    </xf>
    <xf numFmtId="191" fontId="11" fillId="0" borderId="43" xfId="62" applyNumberFormat="1" applyFont="1" applyBorder="1" applyAlignment="1" applyProtection="1">
      <alignment horizontal="center" vertical="center" wrapText="1"/>
      <protection hidden="1"/>
    </xf>
    <xf numFmtId="171" fontId="11" fillId="0" borderId="43" xfId="62" applyNumberFormat="1" applyFont="1" applyBorder="1" applyAlignment="1" applyProtection="1">
      <alignment horizontal="center" vertical="center" wrapText="1"/>
      <protection hidden="1"/>
    </xf>
    <xf numFmtId="4" fontId="71" fillId="0" borderId="44" xfId="51" applyNumberFormat="1" applyFont="1" applyBorder="1" applyAlignment="1">
      <alignment horizontal="center" vertical="center" wrapText="1"/>
      <protection/>
    </xf>
    <xf numFmtId="0" fontId="11" fillId="0" borderId="11" xfId="52" applyFont="1" applyBorder="1" applyAlignment="1" applyProtection="1">
      <alignment horizontal="left" vertical="center" wrapText="1"/>
      <protection hidden="1"/>
    </xf>
    <xf numFmtId="4" fontId="71" fillId="34" borderId="12" xfId="51" applyNumberFormat="1" applyFont="1" applyFill="1" applyBorder="1" applyAlignment="1">
      <alignment horizontal="center" vertical="center" wrapText="1"/>
      <protection/>
    </xf>
    <xf numFmtId="4" fontId="10" fillId="36" borderId="44" xfId="62" applyNumberFormat="1" applyFont="1" applyFill="1" applyBorder="1" applyAlignment="1" applyProtection="1">
      <alignment horizontal="center" vertical="center" wrapText="1"/>
      <protection hidden="1"/>
    </xf>
    <xf numFmtId="4" fontId="10" fillId="36" borderId="12" xfId="62" applyNumberFormat="1" applyFont="1" applyFill="1" applyBorder="1" applyAlignment="1" applyProtection="1">
      <alignment horizontal="center" vertical="center" wrapText="1"/>
      <protection hidden="1"/>
    </xf>
    <xf numFmtId="4" fontId="10" fillId="36" borderId="37" xfId="62" applyNumberFormat="1" applyFont="1" applyFill="1" applyBorder="1" applyAlignment="1" applyProtection="1">
      <alignment horizontal="center" vertical="center" wrapText="1"/>
      <protection hidden="1"/>
    </xf>
    <xf numFmtId="4" fontId="71" fillId="0" borderId="12" xfId="51" applyNumberFormat="1" applyFont="1" applyBorder="1" applyAlignment="1">
      <alignment horizontal="center" vertical="center" wrapText="1"/>
      <protection/>
    </xf>
    <xf numFmtId="0" fontId="11" fillId="0" borderId="0" xfId="52" applyFont="1" applyFill="1" applyBorder="1" applyAlignment="1" applyProtection="1">
      <alignment horizontal="left" vertical="center" wrapText="1"/>
      <protection hidden="1"/>
    </xf>
    <xf numFmtId="171" fontId="10" fillId="0" borderId="0" xfId="62" applyNumberFormat="1" applyFont="1" applyFill="1" applyBorder="1" applyAlignment="1" applyProtection="1">
      <alignment horizontal="center" vertical="center" wrapText="1"/>
      <protection hidden="1"/>
    </xf>
    <xf numFmtId="191" fontId="10" fillId="0" borderId="0" xfId="62" applyNumberFormat="1" applyFont="1" applyFill="1" applyBorder="1" applyAlignment="1" applyProtection="1">
      <alignment horizontal="center" vertical="center" wrapText="1"/>
      <protection hidden="1"/>
    </xf>
    <xf numFmtId="10" fontId="11" fillId="0" borderId="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1" applyFont="1" applyFill="1" applyBorder="1" applyAlignment="1">
      <alignment horizontal="center" vertical="center" wrapText="1"/>
      <protection/>
    </xf>
    <xf numFmtId="191" fontId="11" fillId="0" borderId="0" xfId="51" applyNumberFormat="1" applyFont="1" applyFill="1" applyBorder="1" applyAlignment="1">
      <alignment horizontal="center" vertical="center" wrapText="1"/>
      <protection/>
    </xf>
    <xf numFmtId="171" fontId="10" fillId="0" borderId="0" xfId="51" applyNumberFormat="1" applyFont="1" applyFill="1" applyBorder="1" applyAlignment="1">
      <alignment horizontal="center" vertical="center" wrapText="1"/>
      <protection/>
    </xf>
    <xf numFmtId="1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71" fillId="0" borderId="43" xfId="51" applyNumberFormat="1" applyFont="1" applyBorder="1" applyAlignment="1">
      <alignment horizontal="center" vertical="center" wrapText="1"/>
      <protection/>
    </xf>
    <xf numFmtId="0" fontId="11" fillId="0" borderId="11" xfId="52" applyFont="1" applyFill="1" applyBorder="1" applyAlignment="1" applyProtection="1">
      <alignment horizontal="left" vertical="center" wrapText="1"/>
      <protection hidden="1"/>
    </xf>
    <xf numFmtId="0" fontId="10" fillId="0" borderId="45" xfId="52" applyFont="1" applyBorder="1" applyAlignment="1" applyProtection="1">
      <alignment horizontal="center" vertical="center" wrapText="1"/>
      <protection hidden="1"/>
    </xf>
    <xf numFmtId="0" fontId="71" fillId="0" borderId="43" xfId="51" applyFont="1" applyBorder="1" applyAlignment="1">
      <alignment horizontal="center" vertical="center" wrapText="1"/>
      <protection/>
    </xf>
    <xf numFmtId="0" fontId="71" fillId="0" borderId="44" xfId="51" applyFont="1" applyBorder="1" applyAlignment="1">
      <alignment horizontal="center" vertical="center" wrapText="1"/>
      <protection/>
    </xf>
    <xf numFmtId="0" fontId="11" fillId="0" borderId="11" xfId="52" applyFont="1" applyBorder="1" applyAlignment="1" applyProtection="1">
      <alignment horizontal="justify" vertical="justify" wrapText="1"/>
      <protection hidden="1"/>
    </xf>
    <xf numFmtId="4" fontId="72" fillId="36" borderId="44" xfId="51" applyNumberFormat="1" applyFont="1" applyFill="1" applyBorder="1" applyAlignment="1">
      <alignment horizontal="center" vertical="center" wrapText="1"/>
      <protection/>
    </xf>
    <xf numFmtId="4" fontId="72" fillId="36" borderId="12" xfId="51" applyNumberFormat="1" applyFont="1" applyFill="1" applyBorder="1" applyAlignment="1">
      <alignment horizontal="center" vertical="center" wrapText="1"/>
      <protection/>
    </xf>
    <xf numFmtId="4" fontId="72" fillId="36" borderId="37" xfId="51" applyNumberFormat="1" applyFont="1" applyFill="1" applyBorder="1" applyAlignment="1">
      <alignment horizontal="center" vertical="center" wrapText="1"/>
      <protection/>
    </xf>
    <xf numFmtId="0" fontId="71" fillId="0" borderId="0" xfId="51" applyFont="1" applyBorder="1" applyAlignment="1">
      <alignment horizontal="center" wrapText="1"/>
      <protection/>
    </xf>
    <xf numFmtId="4" fontId="72" fillId="0" borderId="0" xfId="51" applyNumberFormat="1" applyFont="1" applyFill="1" applyBorder="1" applyAlignment="1">
      <alignment horizontal="center" vertical="center" wrapText="1"/>
      <protection/>
    </xf>
    <xf numFmtId="0" fontId="11" fillId="0" borderId="21" xfId="52" applyFont="1" applyBorder="1" applyAlignment="1" applyProtection="1">
      <alignment horizontal="center" vertical="center" wrapText="1"/>
      <protection hidden="1"/>
    </xf>
    <xf numFmtId="0" fontId="11" fillId="0" borderId="20" xfId="52" applyFont="1" applyBorder="1" applyAlignment="1" applyProtection="1">
      <alignment horizontal="justify" vertical="justify" wrapText="1"/>
      <protection hidden="1"/>
    </xf>
    <xf numFmtId="0" fontId="71" fillId="34" borderId="11" xfId="51" applyFont="1" applyFill="1" applyBorder="1" applyAlignment="1">
      <alignment horizontal="left" vertical="center" wrapText="1"/>
      <protection/>
    </xf>
    <xf numFmtId="4" fontId="11" fillId="34" borderId="10" xfId="52" applyNumberFormat="1" applyFont="1" applyFill="1" applyBorder="1" applyAlignment="1" applyProtection="1">
      <alignment horizontal="center" vertical="center" wrapText="1"/>
      <protection hidden="1"/>
    </xf>
    <xf numFmtId="183" fontId="11" fillId="0" borderId="10" xfId="52" applyNumberFormat="1" applyFont="1" applyBorder="1" applyAlignment="1" applyProtection="1">
      <alignment horizontal="center" vertical="center" wrapText="1"/>
      <protection hidden="1"/>
    </xf>
    <xf numFmtId="0" fontId="71" fillId="0" borderId="0" xfId="51" applyFont="1" applyBorder="1" applyAlignment="1">
      <alignment horizontal="center" vertical="center" wrapText="1"/>
      <protection/>
    </xf>
    <xf numFmtId="178" fontId="11" fillId="0" borderId="10" xfId="62" applyNumberFormat="1" applyFont="1" applyBorder="1" applyAlignment="1" applyProtection="1">
      <alignment horizontal="center" vertical="center" wrapText="1"/>
      <protection hidden="1"/>
    </xf>
    <xf numFmtId="4" fontId="11" fillId="34" borderId="10" xfId="62" applyNumberFormat="1" applyFont="1" applyFill="1" applyBorder="1" applyAlignment="1" applyProtection="1">
      <alignment horizontal="center" vertical="center" wrapText="1"/>
      <protection hidden="1"/>
    </xf>
    <xf numFmtId="178" fontId="11" fillId="0" borderId="10" xfId="52" applyNumberFormat="1" applyFont="1" applyBorder="1" applyAlignment="1" applyProtection="1">
      <alignment horizontal="center" vertical="center" wrapText="1"/>
      <protection hidden="1"/>
    </xf>
    <xf numFmtId="178" fontId="71" fillId="0" borderId="10" xfId="51" applyNumberFormat="1" applyFont="1" applyBorder="1" applyAlignment="1">
      <alignment wrapText="1"/>
      <protection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/>
    </xf>
    <xf numFmtId="0" fontId="72" fillId="37" borderId="46" xfId="0" applyFont="1" applyFill="1" applyBorder="1" applyAlignment="1">
      <alignment wrapText="1"/>
    </xf>
    <xf numFmtId="0" fontId="72" fillId="37" borderId="46" xfId="0" applyFont="1" applyFill="1" applyBorder="1" applyAlignment="1">
      <alignment horizontal="center" wrapText="1"/>
    </xf>
    <xf numFmtId="0" fontId="72" fillId="37" borderId="46" xfId="0" applyFont="1" applyFill="1" applyBorder="1" applyAlignment="1">
      <alignment horizontal="right" wrapText="1"/>
    </xf>
    <xf numFmtId="0" fontId="71" fillId="0" borderId="46" xfId="0" applyFont="1" applyBorder="1" applyAlignment="1">
      <alignment horizontal="left" vertical="top" wrapText="1"/>
    </xf>
    <xf numFmtId="0" fontId="71" fillId="0" borderId="46" xfId="0" applyFont="1" applyBorder="1" applyAlignment="1">
      <alignment horizontal="center" vertical="top" wrapText="1"/>
    </xf>
    <xf numFmtId="0" fontId="71" fillId="0" borderId="46" xfId="0" applyFont="1" applyBorder="1" applyAlignment="1">
      <alignment horizontal="right" vertical="top" wrapText="1"/>
    </xf>
    <xf numFmtId="0" fontId="72" fillId="0" borderId="46" xfId="0" applyFont="1" applyBorder="1" applyAlignment="1">
      <alignment horizontal="right" wrapText="1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46" xfId="0" applyFont="1" applyBorder="1" applyAlignment="1">
      <alignment horizontal="justify" vertical="justify" wrapText="1"/>
    </xf>
    <xf numFmtId="4" fontId="71" fillId="0" borderId="46" xfId="0" applyNumberFormat="1" applyFont="1" applyBorder="1" applyAlignment="1">
      <alignment horizontal="right" vertical="top" wrapText="1"/>
    </xf>
    <xf numFmtId="4" fontId="72" fillId="0" borderId="46" xfId="0" applyNumberFormat="1" applyFont="1" applyBorder="1" applyAlignment="1">
      <alignment horizontal="right" wrapText="1"/>
    </xf>
    <xf numFmtId="4" fontId="71" fillId="0" borderId="46" xfId="0" applyNumberFormat="1" applyFont="1" applyBorder="1" applyAlignment="1">
      <alignment horizontal="right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8" borderId="10" xfId="0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justify" vertical="justify" wrapText="1"/>
      <protection/>
    </xf>
    <xf numFmtId="4" fontId="0" fillId="34" borderId="0" xfId="0" applyNumberFormat="1" applyFill="1" applyBorder="1" applyAlignment="1">
      <alignment/>
    </xf>
    <xf numFmtId="2" fontId="7" fillId="34" borderId="10" xfId="54" applyNumberFormat="1" applyFont="1" applyFill="1" applyBorder="1" applyAlignment="1">
      <alignment horizontal="justify" vertical="justify" wrapText="1"/>
      <protection/>
    </xf>
    <xf numFmtId="4" fontId="64" fillId="34" borderId="18" xfId="59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justify" vertical="justify" wrapText="1"/>
    </xf>
    <xf numFmtId="0" fontId="64" fillId="34" borderId="10" xfId="0" applyFont="1" applyFill="1" applyBorder="1" applyAlignment="1">
      <alignment horizontal="left" vertical="center" wrapText="1"/>
    </xf>
    <xf numFmtId="4" fontId="7" fillId="34" borderId="10" xfId="59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/>
    </xf>
    <xf numFmtId="4" fontId="65" fillId="33" borderId="10" xfId="0" applyNumberFormat="1" applyFont="1" applyFill="1" applyBorder="1" applyAlignment="1">
      <alignment horizontal="center" vertical="center" wrapText="1"/>
    </xf>
    <xf numFmtId="10" fontId="71" fillId="0" borderId="0" xfId="51" applyNumberFormat="1" applyFont="1" applyAlignment="1">
      <alignment wrapText="1"/>
      <protection/>
    </xf>
    <xf numFmtId="2" fontId="7" fillId="0" borderId="41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8" borderId="11" xfId="0" applyFont="1" applyFill="1" applyBorder="1" applyAlignment="1">
      <alignment horizontal="center" vertical="center" wrapText="1"/>
    </xf>
    <xf numFmtId="0" fontId="65" fillId="8" borderId="10" xfId="0" applyFont="1" applyFill="1" applyBorder="1" applyAlignment="1">
      <alignment horizontal="center" vertical="center" wrapText="1"/>
    </xf>
    <xf numFmtId="16" fontId="6" fillId="0" borderId="36" xfId="0" applyNumberFormat="1" applyFont="1" applyFill="1" applyBorder="1" applyAlignment="1">
      <alignment horizontal="center" vertical="center" wrapText="1"/>
    </xf>
    <xf numFmtId="16" fontId="6" fillId="0" borderId="23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 applyProtection="1">
      <alignment vertical="center" wrapText="1"/>
      <protection locked="0"/>
    </xf>
    <xf numFmtId="0" fontId="65" fillId="0" borderId="10" xfId="0" applyFont="1" applyFill="1" applyBorder="1" applyAlignment="1" applyProtection="1">
      <alignment vertical="center" wrapText="1"/>
      <protection locked="0"/>
    </xf>
    <xf numFmtId="0" fontId="65" fillId="0" borderId="40" xfId="0" applyFont="1" applyFill="1" applyBorder="1" applyAlignment="1" applyProtection="1">
      <alignment horizontal="justify" vertical="justify" wrapText="1"/>
      <protection locked="0"/>
    </xf>
    <xf numFmtId="0" fontId="65" fillId="0" borderId="34" xfId="0" applyFont="1" applyFill="1" applyBorder="1" applyAlignment="1" applyProtection="1">
      <alignment horizontal="justify" vertical="justify" wrapText="1"/>
      <protection locked="0"/>
    </xf>
    <xf numFmtId="0" fontId="65" fillId="0" borderId="15" xfId="0" applyFont="1" applyFill="1" applyBorder="1" applyAlignment="1" applyProtection="1">
      <alignment horizontal="justify" vertical="justify" wrapText="1"/>
      <protection locked="0"/>
    </xf>
    <xf numFmtId="0" fontId="65" fillId="0" borderId="47" xfId="0" applyFont="1" applyFill="1" applyBorder="1" applyAlignment="1" applyProtection="1">
      <alignment horizontal="justify" vertical="justify" wrapText="1"/>
      <protection locked="0"/>
    </xf>
    <xf numFmtId="0" fontId="65" fillId="0" borderId="17" xfId="0" applyFont="1" applyFill="1" applyBorder="1" applyAlignment="1" applyProtection="1">
      <alignment horizontal="justify" vertical="justify" wrapText="1"/>
      <protection locked="0"/>
    </xf>
    <xf numFmtId="0" fontId="65" fillId="0" borderId="19" xfId="0" applyFont="1" applyFill="1" applyBorder="1" applyAlignment="1" applyProtection="1">
      <alignment horizontal="justify" vertical="justify" wrapText="1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73" fillId="0" borderId="41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73" fillId="0" borderId="42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 locked="0"/>
    </xf>
    <xf numFmtId="0" fontId="65" fillId="0" borderId="44" xfId="0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left" vertical="center"/>
    </xf>
    <xf numFmtId="0" fontId="65" fillId="0" borderId="11" xfId="0" applyFont="1" applyFill="1" applyBorder="1" applyAlignment="1" applyProtection="1">
      <alignment vertical="center"/>
      <protection locked="0"/>
    </xf>
    <xf numFmtId="0" fontId="65" fillId="0" borderId="10" xfId="0" applyFont="1" applyFill="1" applyBorder="1" applyAlignment="1" applyProtection="1">
      <alignment vertical="center"/>
      <protection locked="0"/>
    </xf>
    <xf numFmtId="0" fontId="66" fillId="0" borderId="18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left" vertical="center"/>
    </xf>
    <xf numFmtId="2" fontId="6" fillId="0" borderId="51" xfId="0" applyNumberFormat="1" applyFont="1" applyBorder="1" applyAlignment="1">
      <alignment horizontal="left" vertical="center"/>
    </xf>
    <xf numFmtId="0" fontId="74" fillId="0" borderId="41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38" borderId="52" xfId="52" applyFont="1" applyFill="1" applyBorder="1" applyAlignment="1" applyProtection="1">
      <alignment horizontal="center" vertical="center" wrapText="1"/>
      <protection hidden="1"/>
    </xf>
    <xf numFmtId="0" fontId="11" fillId="38" borderId="53" xfId="52" applyFont="1" applyFill="1" applyBorder="1" applyAlignment="1" applyProtection="1">
      <alignment horizontal="center" vertical="center" wrapText="1"/>
      <protection hidden="1"/>
    </xf>
    <xf numFmtId="171" fontId="11" fillId="34" borderId="10" xfId="62" applyNumberFormat="1" applyFont="1" applyFill="1" applyBorder="1" applyAlignment="1" applyProtection="1">
      <alignment horizontal="center" vertical="center" wrapText="1"/>
      <protection hidden="1"/>
    </xf>
    <xf numFmtId="178" fontId="11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1" fillId="0" borderId="18" xfId="62" applyNumberFormat="1" applyFont="1" applyBorder="1" applyAlignment="1" applyProtection="1">
      <alignment horizontal="center" vertical="center" wrapText="1"/>
      <protection hidden="1"/>
    </xf>
    <xf numFmtId="4" fontId="11" fillId="0" borderId="51" xfId="62" applyNumberFormat="1" applyFont="1" applyBorder="1" applyAlignment="1" applyProtection="1">
      <alignment horizontal="center" vertical="center" wrapText="1"/>
      <protection hidden="1"/>
    </xf>
    <xf numFmtId="4" fontId="11" fillId="0" borderId="54" xfId="62" applyNumberFormat="1" applyFont="1" applyBorder="1" applyAlignment="1" applyProtection="1">
      <alignment horizontal="center" vertical="center" wrapText="1"/>
      <protection hidden="1"/>
    </xf>
    <xf numFmtId="178" fontId="11" fillId="0" borderId="18" xfId="62" applyNumberFormat="1" applyFont="1" applyBorder="1" applyAlignment="1" applyProtection="1">
      <alignment horizontal="center" vertical="center" wrapText="1"/>
      <protection hidden="1"/>
    </xf>
    <xf numFmtId="178" fontId="11" fillId="0" borderId="51" xfId="62" applyNumberFormat="1" applyFont="1" applyBorder="1" applyAlignment="1" applyProtection="1">
      <alignment horizontal="center" vertical="center" wrapText="1"/>
      <protection hidden="1"/>
    </xf>
    <xf numFmtId="178" fontId="11" fillId="0" borderId="54" xfId="62" applyNumberFormat="1" applyFont="1" applyBorder="1" applyAlignment="1" applyProtection="1">
      <alignment horizontal="center" vertical="center" wrapText="1"/>
      <protection hidden="1"/>
    </xf>
    <xf numFmtId="0" fontId="10" fillId="0" borderId="45" xfId="52" applyFont="1" applyFill="1" applyBorder="1" applyAlignment="1" applyProtection="1">
      <alignment horizontal="center" vertical="center" wrapText="1"/>
      <protection hidden="1"/>
    </xf>
    <xf numFmtId="0" fontId="10" fillId="0" borderId="43" xfId="52" applyFont="1" applyFill="1" applyBorder="1" applyAlignment="1" applyProtection="1">
      <alignment horizontal="center" vertical="center" wrapText="1"/>
      <protection hidden="1"/>
    </xf>
    <xf numFmtId="0" fontId="72" fillId="0" borderId="45" xfId="51" applyFont="1" applyBorder="1" applyAlignment="1">
      <alignment horizontal="center" wrapText="1"/>
      <protection/>
    </xf>
    <xf numFmtId="0" fontId="72" fillId="0" borderId="43" xfId="51" applyFont="1" applyBorder="1" applyAlignment="1">
      <alignment horizontal="center" wrapText="1"/>
      <protection/>
    </xf>
    <xf numFmtId="0" fontId="10" fillId="0" borderId="48" xfId="52" applyFont="1" applyBorder="1" applyAlignment="1" applyProtection="1">
      <alignment horizontal="center" vertical="center" wrapText="1"/>
      <protection hidden="1"/>
    </xf>
    <xf numFmtId="0" fontId="10" fillId="0" borderId="49" xfId="52" applyFont="1" applyBorder="1" applyAlignment="1" applyProtection="1">
      <alignment horizontal="center" vertical="center" wrapText="1"/>
      <protection hidden="1"/>
    </xf>
    <xf numFmtId="0" fontId="10" fillId="0" borderId="50" xfId="52" applyFont="1" applyBorder="1" applyAlignment="1" applyProtection="1">
      <alignment horizontal="center" vertical="center" wrapText="1"/>
      <protection hidden="1"/>
    </xf>
    <xf numFmtId="0" fontId="72" fillId="0" borderId="11" xfId="51" applyFont="1" applyBorder="1" applyAlignment="1">
      <alignment horizontal="center" wrapText="1"/>
      <protection/>
    </xf>
    <xf numFmtId="0" fontId="72" fillId="0" borderId="10" xfId="51" applyFont="1" applyBorder="1" applyAlignment="1">
      <alignment horizontal="center" wrapText="1"/>
      <protection/>
    </xf>
    <xf numFmtId="0" fontId="72" fillId="0" borderId="36" xfId="51" applyFont="1" applyBorder="1" applyAlignment="1">
      <alignment horizontal="center" wrapText="1"/>
      <protection/>
    </xf>
    <xf numFmtId="0" fontId="72" fillId="0" borderId="23" xfId="51" applyFont="1" applyBorder="1" applyAlignment="1">
      <alignment horizontal="center" wrapText="1"/>
      <protection/>
    </xf>
    <xf numFmtId="4" fontId="11" fillId="0" borderId="10" xfId="62" applyNumberFormat="1" applyFont="1" applyBorder="1" applyAlignment="1" applyProtection="1">
      <alignment horizontal="center" vertical="center" wrapText="1"/>
      <protection hidden="1"/>
    </xf>
    <xf numFmtId="178" fontId="11" fillId="0" borderId="10" xfId="62" applyNumberFormat="1" applyFont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191" fontId="11" fillId="0" borderId="43" xfId="62" applyNumberFormat="1" applyFont="1" applyBorder="1" applyAlignment="1" applyProtection="1">
      <alignment horizontal="center" vertical="center" wrapText="1"/>
      <protection hidden="1"/>
    </xf>
    <xf numFmtId="171" fontId="11" fillId="0" borderId="43" xfId="62" applyNumberFormat="1" applyFont="1" applyBorder="1" applyAlignment="1" applyProtection="1">
      <alignment horizontal="center" vertical="center" wrapText="1"/>
      <protection hidden="1"/>
    </xf>
    <xf numFmtId="171" fontId="11" fillId="0" borderId="10" xfId="62" applyNumberFormat="1" applyFont="1" applyBorder="1" applyAlignment="1" applyProtection="1">
      <alignment horizontal="center" vertical="center" wrapText="1"/>
      <protection hidden="1"/>
    </xf>
    <xf numFmtId="171" fontId="10" fillId="0" borderId="10" xfId="62" applyNumberFormat="1" applyFont="1" applyBorder="1" applyAlignment="1" applyProtection="1">
      <alignment horizontal="center" vertical="center" wrapText="1"/>
      <protection hidden="1"/>
    </xf>
    <xf numFmtId="0" fontId="10" fillId="0" borderId="11" xfId="52" applyFont="1" applyFill="1" applyBorder="1" applyAlignment="1" applyProtection="1">
      <alignment horizontal="center" vertical="center" wrapText="1"/>
      <protection hidden="1"/>
    </xf>
    <xf numFmtId="0" fontId="10" fillId="0" borderId="10" xfId="52" applyFont="1" applyFill="1" applyBorder="1" applyAlignment="1" applyProtection="1">
      <alignment horizontal="center" vertical="center" wrapText="1"/>
      <protection hidden="1"/>
    </xf>
    <xf numFmtId="0" fontId="10" fillId="0" borderId="36" xfId="52" applyFont="1" applyFill="1" applyBorder="1" applyAlignment="1" applyProtection="1">
      <alignment horizontal="center" vertical="center" wrapText="1"/>
      <protection hidden="1"/>
    </xf>
    <xf numFmtId="0" fontId="10" fillId="0" borderId="23" xfId="52" applyFont="1" applyFill="1" applyBorder="1" applyAlignment="1" applyProtection="1">
      <alignment horizontal="center" vertical="center" wrapText="1"/>
      <protection hidden="1"/>
    </xf>
    <xf numFmtId="0" fontId="10" fillId="0" borderId="36" xfId="52" applyFont="1" applyBorder="1" applyAlignment="1" applyProtection="1">
      <alignment horizontal="center" vertical="center" wrapText="1"/>
      <protection hidden="1"/>
    </xf>
    <xf numFmtId="0" fontId="10" fillId="0" borderId="23" xfId="52" applyFont="1" applyBorder="1" applyAlignment="1" applyProtection="1">
      <alignment horizontal="center" vertical="center" wrapText="1"/>
      <protection hidden="1"/>
    </xf>
    <xf numFmtId="0" fontId="10" fillId="38" borderId="0" xfId="52" applyFont="1" applyFill="1" applyBorder="1" applyAlignment="1" applyProtection="1">
      <alignment horizontal="center" vertical="center" wrapText="1"/>
      <protection hidden="1"/>
    </xf>
    <xf numFmtId="0" fontId="11" fillId="0" borderId="39" xfId="52" applyFont="1" applyBorder="1" applyAlignment="1" applyProtection="1">
      <alignment horizontal="center" vertical="center" wrapText="1"/>
      <protection hidden="1"/>
    </xf>
    <xf numFmtId="0" fontId="11" fillId="38" borderId="23" xfId="52" applyFont="1" applyFill="1" applyBorder="1" applyAlignment="1" applyProtection="1">
      <alignment horizontal="center" vertical="center" wrapText="1"/>
      <protection hidden="1"/>
    </xf>
    <xf numFmtId="49" fontId="11" fillId="0" borderId="23" xfId="62" applyNumberFormat="1" applyFont="1" applyFill="1" applyBorder="1" applyAlignment="1" applyProtection="1">
      <alignment horizontal="center" vertical="center" wrapText="1"/>
      <protection hidden="1"/>
    </xf>
    <xf numFmtId="49" fontId="11" fillId="0" borderId="37" xfId="62" applyNumberFormat="1" applyFont="1" applyFill="1" applyBorder="1" applyAlignment="1" applyProtection="1">
      <alignment horizontal="center" vertical="center" wrapText="1"/>
      <protection hidden="1"/>
    </xf>
    <xf numFmtId="0" fontId="10" fillId="36" borderId="45" xfId="52" applyFont="1" applyFill="1" applyBorder="1" applyAlignment="1" applyProtection="1">
      <alignment horizontal="center" vertical="center" wrapText="1"/>
      <protection hidden="1"/>
    </xf>
    <xf numFmtId="0" fontId="10" fillId="36" borderId="43" xfId="52" applyFont="1" applyFill="1" applyBorder="1" applyAlignment="1" applyProtection="1">
      <alignment horizontal="center" vertical="center" wrapText="1"/>
      <protection hidden="1"/>
    </xf>
    <xf numFmtId="0" fontId="10" fillId="36" borderId="44" xfId="52" applyFont="1" applyFill="1" applyBorder="1" applyAlignment="1" applyProtection="1">
      <alignment horizontal="center" vertical="center" wrapText="1"/>
      <protection hidden="1"/>
    </xf>
    <xf numFmtId="0" fontId="10" fillId="36" borderId="55" xfId="52" applyFont="1" applyFill="1" applyBorder="1" applyAlignment="1" applyProtection="1">
      <alignment horizontal="center" vertical="center" wrapText="1"/>
      <protection hidden="1"/>
    </xf>
    <xf numFmtId="0" fontId="10" fillId="36" borderId="51" xfId="52" applyFont="1" applyFill="1" applyBorder="1" applyAlignment="1" applyProtection="1">
      <alignment horizontal="center" vertical="center" wrapText="1"/>
      <protection hidden="1"/>
    </xf>
    <xf numFmtId="0" fontId="10" fillId="36" borderId="13" xfId="52" applyFont="1" applyFill="1" applyBorder="1" applyAlignment="1" applyProtection="1">
      <alignment horizontal="center" vertical="center" wrapText="1"/>
      <protection hidden="1"/>
    </xf>
    <xf numFmtId="171" fontId="10" fillId="0" borderId="10" xfId="62" applyNumberFormat="1" applyFont="1" applyFill="1" applyBorder="1" applyAlignment="1" applyProtection="1">
      <alignment horizontal="center" vertical="center" wrapText="1"/>
      <protection hidden="1"/>
    </xf>
    <xf numFmtId="171" fontId="10" fillId="0" borderId="12" xfId="62" applyNumberFormat="1" applyFont="1" applyFill="1" applyBorder="1" applyAlignment="1" applyProtection="1">
      <alignment horizontal="center" vertical="center" wrapText="1"/>
      <protection hidden="1"/>
    </xf>
    <xf numFmtId="0" fontId="71" fillId="0" borderId="36" xfId="51" applyFont="1" applyFill="1" applyBorder="1" applyAlignment="1">
      <alignment horizontal="center" vertical="center" wrapText="1"/>
      <protection/>
    </xf>
    <xf numFmtId="0" fontId="71" fillId="0" borderId="23" xfId="51" applyFont="1" applyFill="1" applyBorder="1" applyAlignment="1">
      <alignment horizontal="center" vertical="center" wrapText="1"/>
      <protection/>
    </xf>
    <xf numFmtId="0" fontId="10" fillId="38" borderId="23" xfId="52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2" fontId="6" fillId="0" borderId="10" xfId="0" applyNumberFormat="1" applyFont="1" applyBorder="1" applyAlignment="1">
      <alignment horizontal="left"/>
    </xf>
    <xf numFmtId="2" fontId="6" fillId="0" borderId="12" xfId="0" applyNumberFormat="1" applyFont="1" applyBorder="1" applyAlignment="1">
      <alignment horizontal="left"/>
    </xf>
    <xf numFmtId="0" fontId="65" fillId="0" borderId="11" xfId="0" applyFont="1" applyFill="1" applyBorder="1" applyAlignment="1" applyProtection="1">
      <alignment horizontal="left" vertical="center"/>
      <protection locked="0"/>
    </xf>
    <xf numFmtId="0" fontId="65" fillId="0" borderId="10" xfId="0" applyFont="1" applyFill="1" applyBorder="1" applyAlignment="1" applyProtection="1">
      <alignment horizontal="left" vertical="center"/>
      <protection locked="0"/>
    </xf>
    <xf numFmtId="0" fontId="65" fillId="0" borderId="10" xfId="0" applyFont="1" applyBorder="1" applyAlignment="1">
      <alignment horizontal="justify" vertical="justify" wrapText="1"/>
    </xf>
    <xf numFmtId="0" fontId="65" fillId="0" borderId="12" xfId="0" applyFont="1" applyBorder="1" applyAlignment="1">
      <alignment horizontal="justify" vertical="justify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65" fillId="0" borderId="11" xfId="0" applyFont="1" applyFill="1" applyBorder="1" applyAlignment="1" applyProtection="1">
      <alignment horizontal="left" vertical="center" wrapText="1"/>
      <protection locked="0"/>
    </xf>
    <xf numFmtId="0" fontId="65" fillId="0" borderId="10" xfId="0" applyFont="1" applyFill="1" applyBorder="1" applyAlignment="1" applyProtection="1">
      <alignment horizontal="left" vertical="center" wrapText="1"/>
      <protection locked="0"/>
    </xf>
    <xf numFmtId="0" fontId="65" fillId="0" borderId="10" xfId="0" applyFont="1" applyFill="1" applyBorder="1" applyAlignment="1" applyProtection="1">
      <alignment horizontal="justify" vertical="justify" wrapText="1"/>
      <protection locked="0"/>
    </xf>
    <xf numFmtId="0" fontId="65" fillId="0" borderId="12" xfId="0" applyFont="1" applyFill="1" applyBorder="1" applyAlignment="1" applyProtection="1">
      <alignment horizontal="justify" vertical="justify" wrapText="1"/>
      <protection locked="0"/>
    </xf>
    <xf numFmtId="0" fontId="73" fillId="0" borderId="45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center" vertical="center" wrapText="1"/>
    </xf>
    <xf numFmtId="0" fontId="65" fillId="33" borderId="55" xfId="0" applyFont="1" applyFill="1" applyBorder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5" fillId="0" borderId="30" xfId="0" applyFont="1" applyFill="1" applyBorder="1" applyAlignment="1" applyProtection="1">
      <alignment horizontal="justify" vertical="justify" wrapText="1"/>
      <protection locked="0"/>
    </xf>
    <xf numFmtId="0" fontId="65" fillId="0" borderId="0" xfId="0" applyFont="1" applyFill="1" applyBorder="1" applyAlignment="1" applyProtection="1">
      <alignment horizontal="justify" vertical="justify" wrapText="1"/>
      <protection locked="0"/>
    </xf>
    <xf numFmtId="0" fontId="65" fillId="0" borderId="28" xfId="0" applyFont="1" applyFill="1" applyBorder="1" applyAlignment="1" applyProtection="1">
      <alignment horizontal="justify" vertical="justify" wrapText="1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65" fillId="0" borderId="18" xfId="0" applyFont="1" applyBorder="1" applyAlignment="1">
      <alignment horizontal="justify" vertical="justify" wrapText="1"/>
    </xf>
    <xf numFmtId="0" fontId="65" fillId="0" borderId="51" xfId="0" applyFont="1" applyBorder="1" applyAlignment="1">
      <alignment horizontal="justify" vertical="justify" wrapText="1"/>
    </xf>
    <xf numFmtId="0" fontId="65" fillId="0" borderId="13" xfId="0" applyFont="1" applyBorder="1" applyAlignment="1">
      <alignment horizontal="justify" vertical="justify" wrapText="1"/>
    </xf>
    <xf numFmtId="0" fontId="72" fillId="0" borderId="18" xfId="0" applyFont="1" applyBorder="1" applyAlignment="1">
      <alignment horizontal="center" wrapText="1"/>
    </xf>
    <xf numFmtId="0" fontId="72" fillId="0" borderId="51" xfId="0" applyFont="1" applyBorder="1" applyAlignment="1">
      <alignment horizontal="center" wrapText="1"/>
    </xf>
    <xf numFmtId="0" fontId="72" fillId="0" borderId="54" xfId="0" applyFont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0" fontId="71" fillId="0" borderId="0" xfId="0" applyFont="1" applyAlignment="1">
      <alignment wrapText="1"/>
    </xf>
    <xf numFmtId="0" fontId="72" fillId="0" borderId="56" xfId="0" applyFont="1" applyBorder="1" applyAlignment="1">
      <alignment horizontal="right" wrapText="1"/>
    </xf>
    <xf numFmtId="0" fontId="72" fillId="0" borderId="57" xfId="0" applyFont="1" applyBorder="1" applyAlignment="1">
      <alignment horizontal="right" wrapText="1"/>
    </xf>
    <xf numFmtId="0" fontId="72" fillId="0" borderId="58" xfId="0" applyFont="1" applyBorder="1" applyAlignment="1">
      <alignment horizontal="right" wrapText="1"/>
    </xf>
    <xf numFmtId="0" fontId="71" fillId="0" borderId="59" xfId="0" applyFont="1" applyBorder="1" applyAlignment="1">
      <alignment wrapText="1"/>
    </xf>
    <xf numFmtId="0" fontId="72" fillId="0" borderId="0" xfId="0" applyFont="1" applyAlignment="1">
      <alignment wrapText="1"/>
    </xf>
    <xf numFmtId="0" fontId="72" fillId="37" borderId="56" xfId="0" applyFont="1" applyFill="1" applyBorder="1" applyAlignment="1">
      <alignment wrapText="1"/>
    </xf>
    <xf numFmtId="0" fontId="72" fillId="37" borderId="57" xfId="0" applyFont="1" applyFill="1" applyBorder="1" applyAlignment="1">
      <alignment wrapText="1"/>
    </xf>
    <xf numFmtId="0" fontId="72" fillId="37" borderId="58" xfId="0" applyFont="1" applyFill="1" applyBorder="1" applyAlignment="1">
      <alignment wrapText="1"/>
    </xf>
    <xf numFmtId="0" fontId="71" fillId="0" borderId="56" xfId="0" applyFont="1" applyBorder="1" applyAlignment="1">
      <alignment wrapText="1"/>
    </xf>
    <xf numFmtId="0" fontId="71" fillId="0" borderId="57" xfId="0" applyFont="1" applyBorder="1" applyAlignment="1">
      <alignment wrapText="1"/>
    </xf>
    <xf numFmtId="0" fontId="71" fillId="0" borderId="58" xfId="0" applyFont="1" applyBorder="1" applyAlignment="1">
      <alignment wrapText="1"/>
    </xf>
    <xf numFmtId="0" fontId="71" fillId="0" borderId="60" xfId="0" applyFont="1" applyBorder="1" applyAlignment="1">
      <alignment horizontal="right" vertical="top" wrapText="1"/>
    </xf>
    <xf numFmtId="0" fontId="71" fillId="0" borderId="61" xfId="0" applyFont="1" applyBorder="1" applyAlignment="1">
      <alignment horizontal="right" vertical="top" wrapText="1"/>
    </xf>
    <xf numFmtId="0" fontId="71" fillId="0" borderId="62" xfId="0" applyFont="1" applyBorder="1" applyAlignment="1">
      <alignment horizontal="right" vertical="top" wrapText="1"/>
    </xf>
    <xf numFmtId="0" fontId="72" fillId="0" borderId="56" xfId="0" applyFont="1" applyBorder="1" applyAlignment="1">
      <alignment wrapText="1"/>
    </xf>
    <xf numFmtId="0" fontId="72" fillId="0" borderId="57" xfId="0" applyFont="1" applyBorder="1" applyAlignment="1">
      <alignment wrapText="1"/>
    </xf>
    <xf numFmtId="0" fontId="72" fillId="0" borderId="58" xfId="0" applyFont="1" applyBorder="1" applyAlignment="1">
      <alignment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rmal 7" xfId="51"/>
    <cellStyle name="Normal_Blocos" xfId="52"/>
    <cellStyle name="Normal_C Ps - Rev. 2" xfId="53"/>
    <cellStyle name="Normal_VVesg 1 005 04 REV. 2 - Alvorada - Grupo B Rede coletora" xfId="54"/>
    <cellStyle name="Nota" xfId="55"/>
    <cellStyle name="Percent" xfId="56"/>
    <cellStyle name="Porcentagem 5" xfId="57"/>
    <cellStyle name="Saída" xfId="58"/>
    <cellStyle name="Comma" xfId="59"/>
    <cellStyle name="Comma [0]" xfId="60"/>
    <cellStyle name="Separador de milhares 6" xfId="61"/>
    <cellStyle name="Separador de milhares 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85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477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2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477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85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2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85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95250</xdr:rowOff>
    </xdr:from>
    <xdr:to>
      <xdr:col>0</xdr:col>
      <xdr:colOff>1371600</xdr:colOff>
      <xdr:row>3</xdr:row>
      <xdr:rowOff>142875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0"/>
          <a:ext cx="7810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85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477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477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85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85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477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</xdr:col>
      <xdr:colOff>571500</xdr:colOff>
      <xdr:row>1</xdr:row>
      <xdr:rowOff>180975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0001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ISTIANE\Users\PREFEITURA%20DE%20SAO%20GABRIEL\PROJETO%20CAL&#199;AMENTO%20NATALIA%20SHUTS%20E%20RUA%20PROJETADA%202015\PLANILHA%20NATALIA%20SCHULT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ISTIANE\Users\Users\USURIO~1\AppData\Local\Temp\Rar$DI00.535\Users\A3%20CONSULTRIA\Downloads\Rua%20do%20Cemiterio\RUA%20DO%20CEMITE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ISTIANE\Users\XXX\Desktop\Pasta%20na%20Rede\PROJETOS%202016\CAL&#199;AMENTO%20RUAS%20BAIRROS\MOD%20DIEGO\CD%20CAL&#199;AMENTO%20S&#195;O%20DOMINGOS\RUA%20FRANCISCO%20SCHIMITH%20BERGUE\RUA%20FRANCISCO%20SCHIMIT%20BERG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PLANILHA GERAL"/>
      <sheetName val="MEMÓR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MEMÓRIA"/>
      <sheetName val="CRONOGRAMA"/>
    </sheetNames>
    <sheetDataSet>
      <sheetData sheetId="1">
        <row r="21">
          <cell r="E21">
            <v>8</v>
          </cell>
        </row>
        <row r="26">
          <cell r="E26">
            <v>157.60000000000002</v>
          </cell>
        </row>
        <row r="27">
          <cell r="E27">
            <v>1348</v>
          </cell>
        </row>
        <row r="29">
          <cell r="E29">
            <v>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MEMÓRIA"/>
    </sheetNames>
    <sheetDataSet>
      <sheetData sheetId="1">
        <row r="33">
          <cell r="E3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SheetLayoutView="100" zoomScalePageLayoutView="0" workbookViewId="0" topLeftCell="A57">
      <selection activeCell="H64" sqref="H64"/>
    </sheetView>
  </sheetViews>
  <sheetFormatPr defaultColWidth="9.140625" defaultRowHeight="15"/>
  <cols>
    <col min="1" max="1" width="10.140625" style="2" customWidth="1"/>
    <col min="2" max="2" width="13.7109375" style="2" customWidth="1"/>
    <col min="3" max="3" width="16.140625" style="24" customWidth="1"/>
    <col min="4" max="4" width="74.28125" style="147" customWidth="1"/>
    <col min="5" max="5" width="9.00390625" style="278" customWidth="1"/>
    <col min="6" max="6" width="15.8515625" style="271" customWidth="1"/>
    <col min="7" max="7" width="15.7109375" style="271" customWidth="1"/>
    <col min="8" max="8" width="18.140625" style="271" customWidth="1"/>
    <col min="9" max="9" width="9.140625" style="5" customWidth="1"/>
    <col min="10" max="10" width="17.8515625" style="5" bestFit="1" customWidth="1"/>
    <col min="11" max="11" width="15.421875" style="162" bestFit="1" customWidth="1"/>
    <col min="12" max="12" width="12.421875" style="5" bestFit="1" customWidth="1"/>
    <col min="13" max="16384" width="9.140625" style="5" customWidth="1"/>
  </cols>
  <sheetData>
    <row r="1" spans="1:8" ht="36" customHeight="1">
      <c r="A1" s="405" t="s">
        <v>34</v>
      </c>
      <c r="B1" s="406"/>
      <c r="C1" s="406"/>
      <c r="D1" s="406"/>
      <c r="E1" s="406"/>
      <c r="F1" s="406"/>
      <c r="G1" s="406"/>
      <c r="H1" s="407"/>
    </row>
    <row r="2" spans="1:8" ht="53.25" customHeight="1" thickBot="1">
      <c r="A2" s="408"/>
      <c r="B2" s="409"/>
      <c r="C2" s="409"/>
      <c r="D2" s="409"/>
      <c r="E2" s="409"/>
      <c r="F2" s="409"/>
      <c r="G2" s="409"/>
      <c r="H2" s="410"/>
    </row>
    <row r="3" spans="1:8" ht="21" customHeight="1">
      <c r="A3" s="411" t="s">
        <v>55</v>
      </c>
      <c r="B3" s="412"/>
      <c r="C3" s="412"/>
      <c r="D3" s="412"/>
      <c r="E3" s="412"/>
      <c r="F3" s="412"/>
      <c r="G3" s="412"/>
      <c r="H3" s="413"/>
    </row>
    <row r="4" spans="1:8" ht="18">
      <c r="A4" s="414" t="s">
        <v>121</v>
      </c>
      <c r="B4" s="415"/>
      <c r="C4" s="415"/>
      <c r="D4" s="415"/>
      <c r="E4" s="423" t="s">
        <v>319</v>
      </c>
      <c r="F4" s="424"/>
      <c r="G4" s="424"/>
      <c r="H4" s="279">
        <v>1.2861</v>
      </c>
    </row>
    <row r="5" spans="1:8" ht="18">
      <c r="A5" s="414"/>
      <c r="B5" s="415"/>
      <c r="C5" s="415"/>
      <c r="D5" s="415"/>
      <c r="E5" s="416"/>
      <c r="F5" s="416"/>
      <c r="G5" s="416"/>
      <c r="H5" s="417"/>
    </row>
    <row r="6" spans="1:8" ht="62.25" customHeight="1">
      <c r="A6" s="418" t="s">
        <v>28</v>
      </c>
      <c r="B6" s="419"/>
      <c r="C6" s="419"/>
      <c r="D6" s="419"/>
      <c r="E6" s="420" t="s">
        <v>329</v>
      </c>
      <c r="F6" s="421"/>
      <c r="G6" s="421"/>
      <c r="H6" s="422"/>
    </row>
    <row r="7" spans="1:8" ht="48.75" customHeight="1">
      <c r="A7" s="394" t="s">
        <v>51</v>
      </c>
      <c r="B7" s="395"/>
      <c r="C7" s="395"/>
      <c r="D7" s="395"/>
      <c r="E7" s="396"/>
      <c r="F7" s="397"/>
      <c r="G7" s="397"/>
      <c r="H7" s="398"/>
    </row>
    <row r="8" spans="1:11" s="6" customFormat="1" ht="47.25" customHeight="1" thickBot="1">
      <c r="A8" s="402" t="s">
        <v>122</v>
      </c>
      <c r="B8" s="403"/>
      <c r="C8" s="404"/>
      <c r="D8" s="136" t="s">
        <v>325</v>
      </c>
      <c r="E8" s="399"/>
      <c r="F8" s="400"/>
      <c r="G8" s="400"/>
      <c r="H8" s="401"/>
      <c r="K8" s="163"/>
    </row>
    <row r="9" spans="1:11" s="7" customFormat="1" ht="36">
      <c r="A9" s="116" t="s">
        <v>1</v>
      </c>
      <c r="B9" s="117" t="s">
        <v>44</v>
      </c>
      <c r="C9" s="118" t="s">
        <v>7</v>
      </c>
      <c r="D9" s="117" t="s">
        <v>2</v>
      </c>
      <c r="E9" s="117" t="s">
        <v>43</v>
      </c>
      <c r="F9" s="119" t="s">
        <v>22</v>
      </c>
      <c r="G9" s="119" t="s">
        <v>299</v>
      </c>
      <c r="H9" s="120" t="s">
        <v>4</v>
      </c>
      <c r="K9" s="164"/>
    </row>
    <row r="10" spans="1:11" s="7" customFormat="1" ht="18">
      <c r="A10" s="40">
        <v>1</v>
      </c>
      <c r="B10" s="121"/>
      <c r="C10" s="122"/>
      <c r="D10" s="148" t="s">
        <v>18</v>
      </c>
      <c r="E10" s="121"/>
      <c r="F10" s="123"/>
      <c r="G10" s="246"/>
      <c r="H10" s="249"/>
      <c r="K10" s="164"/>
    </row>
    <row r="11" spans="1:11" s="135" customFormat="1" ht="18">
      <c r="A11" s="37" t="s">
        <v>87</v>
      </c>
      <c r="B11" s="91" t="s">
        <v>57</v>
      </c>
      <c r="C11" s="134" t="s">
        <v>88</v>
      </c>
      <c r="D11" s="137" t="s">
        <v>89</v>
      </c>
      <c r="E11" s="25" t="s">
        <v>5</v>
      </c>
      <c r="F11" s="50">
        <f>4*2.5</f>
        <v>10</v>
      </c>
      <c r="G11" s="223">
        <f>277.36*H4</f>
        <v>356.71269600000005</v>
      </c>
      <c r="H11" s="250">
        <v>3567.1</v>
      </c>
      <c r="J11" s="135">
        <v>3467.0000000000005</v>
      </c>
      <c r="K11" s="165"/>
    </row>
    <row r="12" spans="1:11" s="135" customFormat="1" ht="54.75" customHeight="1">
      <c r="A12" s="37" t="s">
        <v>93</v>
      </c>
      <c r="B12" s="91" t="s">
        <v>57</v>
      </c>
      <c r="C12" s="134" t="s">
        <v>90</v>
      </c>
      <c r="D12" s="137" t="s">
        <v>91</v>
      </c>
      <c r="E12" s="25" t="s">
        <v>5</v>
      </c>
      <c r="F12" s="50">
        <f>2*4</f>
        <v>8</v>
      </c>
      <c r="G12" s="223">
        <f>362.96*H4</f>
        <v>466.80285599999996</v>
      </c>
      <c r="H12" s="250">
        <v>3734.4</v>
      </c>
      <c r="J12" s="360">
        <v>3629.6</v>
      </c>
      <c r="K12" s="199" t="e">
        <f>J12/#REF!</f>
        <v>#REF!</v>
      </c>
    </row>
    <row r="13" spans="1:11" s="135" customFormat="1" ht="18">
      <c r="A13" s="37" t="s">
        <v>94</v>
      </c>
      <c r="B13" s="91" t="s">
        <v>294</v>
      </c>
      <c r="C13" s="134"/>
      <c r="D13" s="137" t="s">
        <v>295</v>
      </c>
      <c r="E13" s="25" t="s">
        <v>43</v>
      </c>
      <c r="F13" s="50">
        <v>1</v>
      </c>
      <c r="G13" s="223">
        <f>(ADMINISTRAÇÃO!E31)*H4</f>
        <v>82598.4864</v>
      </c>
      <c r="H13" s="250">
        <f>F13*G13</f>
        <v>82598.4864</v>
      </c>
      <c r="J13" s="360">
        <v>80280</v>
      </c>
      <c r="K13" s="165" t="e">
        <f>#REF!+#REF!</f>
        <v>#REF!</v>
      </c>
    </row>
    <row r="14" spans="1:12" s="135" customFormat="1" ht="54">
      <c r="A14" s="37" t="s">
        <v>96</v>
      </c>
      <c r="B14" s="91" t="s">
        <v>57</v>
      </c>
      <c r="C14" s="134" t="s">
        <v>296</v>
      </c>
      <c r="D14" s="137" t="s">
        <v>297</v>
      </c>
      <c r="E14" s="25" t="s">
        <v>5</v>
      </c>
      <c r="F14" s="50">
        <f>F44</f>
        <v>6117.949999999999</v>
      </c>
      <c r="G14" s="223">
        <f>0.31*H4</f>
        <v>0.398691</v>
      </c>
      <c r="H14" s="250">
        <v>2447.18</v>
      </c>
      <c r="J14" s="360">
        <v>2373.205</v>
      </c>
      <c r="K14" s="199" t="e">
        <f>K13/#REF!</f>
        <v>#REF!</v>
      </c>
      <c r="L14" s="199" t="e">
        <f>K14/8</f>
        <v>#REF!</v>
      </c>
    </row>
    <row r="15" spans="1:11" s="7" customFormat="1" ht="18">
      <c r="A15" s="388" t="s">
        <v>8</v>
      </c>
      <c r="B15" s="389"/>
      <c r="C15" s="389"/>
      <c r="D15" s="389"/>
      <c r="E15" s="389"/>
      <c r="F15" s="389"/>
      <c r="G15" s="243"/>
      <c r="H15" s="251">
        <f>SUM(H11:H14)</f>
        <v>92347.16639999999</v>
      </c>
      <c r="J15" s="251">
        <f>SUM(J11:J14)</f>
        <v>89749.80500000001</v>
      </c>
      <c r="K15" s="164"/>
    </row>
    <row r="16" spans="1:11" s="10" customFormat="1" ht="18">
      <c r="A16" s="390" t="s">
        <v>70</v>
      </c>
      <c r="B16" s="391"/>
      <c r="C16" s="391"/>
      <c r="D16" s="391"/>
      <c r="E16" s="391"/>
      <c r="F16" s="391"/>
      <c r="G16" s="244"/>
      <c r="H16" s="252">
        <f>H15</f>
        <v>92347.16639999999</v>
      </c>
      <c r="J16" s="252">
        <f>J15</f>
        <v>89749.80500000001</v>
      </c>
      <c r="K16" s="166"/>
    </row>
    <row r="17" spans="1:11" s="10" customFormat="1" ht="18">
      <c r="A17" s="133"/>
      <c r="B17" s="44"/>
      <c r="C17" s="44"/>
      <c r="D17" s="138"/>
      <c r="E17" s="44"/>
      <c r="F17" s="44"/>
      <c r="G17" s="245"/>
      <c r="H17" s="253"/>
      <c r="K17" s="166"/>
    </row>
    <row r="18" spans="1:11" s="7" customFormat="1" ht="18">
      <c r="A18" s="40">
        <v>2</v>
      </c>
      <c r="B18" s="121"/>
      <c r="C18" s="122"/>
      <c r="D18" s="148" t="s">
        <v>16</v>
      </c>
      <c r="E18" s="121"/>
      <c r="F18" s="123"/>
      <c r="G18" s="246"/>
      <c r="H18" s="249"/>
      <c r="K18" s="164"/>
    </row>
    <row r="19" spans="1:11" s="7" customFormat="1" ht="36">
      <c r="A19" s="37" t="s">
        <v>12</v>
      </c>
      <c r="B19" s="38" t="s">
        <v>20</v>
      </c>
      <c r="C19" s="39" t="s">
        <v>46</v>
      </c>
      <c r="D19" s="139" t="s">
        <v>35</v>
      </c>
      <c r="E19" s="25" t="s">
        <v>6</v>
      </c>
      <c r="F19" s="50"/>
      <c r="G19" s="50" t="s">
        <v>52</v>
      </c>
      <c r="H19" s="250"/>
      <c r="K19" s="164"/>
    </row>
    <row r="20" spans="1:11" s="7" customFormat="1" ht="18">
      <c r="A20" s="37" t="s">
        <v>13</v>
      </c>
      <c r="B20" s="38" t="s">
        <v>20</v>
      </c>
      <c r="C20" s="39" t="s">
        <v>47</v>
      </c>
      <c r="D20" s="139" t="s">
        <v>29</v>
      </c>
      <c r="E20" s="25" t="s">
        <v>6</v>
      </c>
      <c r="F20" s="50"/>
      <c r="G20" s="50" t="s">
        <v>52</v>
      </c>
      <c r="H20" s="250"/>
      <c r="K20" s="164"/>
    </row>
    <row r="21" spans="1:11" s="101" customFormat="1" ht="72">
      <c r="A21" s="98" t="s">
        <v>14</v>
      </c>
      <c r="B21" s="91" t="s">
        <v>57</v>
      </c>
      <c r="C21" s="96" t="s">
        <v>58</v>
      </c>
      <c r="D21" s="140" t="s">
        <v>30</v>
      </c>
      <c r="E21" s="97" t="s">
        <v>6</v>
      </c>
      <c r="F21" s="92"/>
      <c r="G21" s="92" t="s">
        <v>52</v>
      </c>
      <c r="H21" s="254"/>
      <c r="K21" s="167"/>
    </row>
    <row r="22" spans="1:11" s="7" customFormat="1" ht="36">
      <c r="A22" s="37" t="s">
        <v>15</v>
      </c>
      <c r="B22" s="38" t="s">
        <v>19</v>
      </c>
      <c r="C22" s="43" t="s">
        <v>39</v>
      </c>
      <c r="D22" s="141" t="s">
        <v>21</v>
      </c>
      <c r="E22" s="25" t="s">
        <v>5</v>
      </c>
      <c r="F22" s="50"/>
      <c r="G22" s="50" t="s">
        <v>52</v>
      </c>
      <c r="H22" s="250"/>
      <c r="K22" s="164"/>
    </row>
    <row r="23" spans="1:11" s="7" customFormat="1" ht="18">
      <c r="A23" s="388" t="s">
        <v>8</v>
      </c>
      <c r="B23" s="389"/>
      <c r="C23" s="389"/>
      <c r="D23" s="389"/>
      <c r="E23" s="389"/>
      <c r="F23" s="389"/>
      <c r="G23" s="243"/>
      <c r="H23" s="251">
        <f>SUM(H18:H22)</f>
        <v>0</v>
      </c>
      <c r="K23" s="164"/>
    </row>
    <row r="24" spans="1:11" s="10" customFormat="1" ht="18">
      <c r="A24" s="390" t="s">
        <v>69</v>
      </c>
      <c r="B24" s="391"/>
      <c r="C24" s="391"/>
      <c r="D24" s="391"/>
      <c r="E24" s="391"/>
      <c r="F24" s="391"/>
      <c r="G24" s="244"/>
      <c r="H24" s="252">
        <f>H23</f>
        <v>0</v>
      </c>
      <c r="J24" s="166"/>
      <c r="K24" s="166"/>
    </row>
    <row r="25" spans="1:11" s="10" customFormat="1" ht="18">
      <c r="A25" s="133"/>
      <c r="B25" s="44"/>
      <c r="C25" s="44"/>
      <c r="D25" s="138"/>
      <c r="E25" s="44"/>
      <c r="F25" s="44"/>
      <c r="G25" s="245"/>
      <c r="H25" s="253"/>
      <c r="K25" s="166"/>
    </row>
    <row r="26" spans="1:11" s="4" customFormat="1" ht="18">
      <c r="A26" s="40">
        <v>3</v>
      </c>
      <c r="B26" s="121"/>
      <c r="C26" s="122"/>
      <c r="D26" s="148" t="s">
        <v>11</v>
      </c>
      <c r="E26" s="121"/>
      <c r="F26" s="123"/>
      <c r="G26" s="246"/>
      <c r="H26" s="249"/>
      <c r="K26" s="168"/>
    </row>
    <row r="27" spans="1:12" s="9" customFormat="1" ht="18">
      <c r="A27" s="126" t="s">
        <v>17</v>
      </c>
      <c r="B27" s="127"/>
      <c r="C27" s="128"/>
      <c r="D27" s="149" t="s">
        <v>11</v>
      </c>
      <c r="E27" s="129"/>
      <c r="F27" s="255"/>
      <c r="G27" s="255"/>
      <c r="H27" s="256"/>
      <c r="K27" s="170"/>
      <c r="L27" s="168"/>
    </row>
    <row r="28" spans="1:13" s="90" customFormat="1" ht="54">
      <c r="A28" s="95" t="s">
        <v>31</v>
      </c>
      <c r="B28" s="91" t="s">
        <v>57</v>
      </c>
      <c r="C28" s="96" t="s">
        <v>317</v>
      </c>
      <c r="D28" s="367" t="s">
        <v>318</v>
      </c>
      <c r="E28" s="97" t="s">
        <v>0</v>
      </c>
      <c r="F28" s="92">
        <f>'Rua Polo'!F23+'Rua Francisco Schimit'!F36+'Rua José Calegari'!F24+'Projetada 2'!F29+'Rua Projetada 12'!F22+'Rua Projetada 90'!F22+'Rua Projetada 91'!F22+'Rua Thereza '!F23</f>
        <v>1366.7100000000003</v>
      </c>
      <c r="G28" s="92">
        <f>25.54*H4</f>
        <v>32.846994</v>
      </c>
      <c r="H28" s="254">
        <f>F28*32.85</f>
        <v>44896.42350000001</v>
      </c>
      <c r="J28" s="92">
        <f>'Rua Polo'!H23+'Rua Projetada 90'!H22+'Rua Thereza '!H23+'Rua Projetada 91'!H22+'Rua Projetada 12'!H22+'Projetada 2'!H29+'Rua José Calegari'!H24+'Rua Francisco Schimit'!H36</f>
        <v>44892.31516974001</v>
      </c>
      <c r="K28" s="368">
        <f>H28-J28</f>
        <v>4.108330260001821</v>
      </c>
      <c r="L28" s="169"/>
      <c r="M28" s="90">
        <f>574.98+34.17+239.64</f>
        <v>848.79</v>
      </c>
    </row>
    <row r="29" spans="1:13" s="90" customFormat="1" ht="36">
      <c r="A29" s="95" t="s">
        <v>300</v>
      </c>
      <c r="B29" s="91" t="s">
        <v>19</v>
      </c>
      <c r="C29" s="96" t="s">
        <v>36</v>
      </c>
      <c r="D29" s="369" t="s">
        <v>37</v>
      </c>
      <c r="E29" s="97" t="s">
        <v>0</v>
      </c>
      <c r="F29" s="92">
        <f>'Rua Projetada 90'!F24+'Rua Polo'!F24+'Projetada 2'!F23+'Rua José Calegari'!F23+'Rua Francisco Schimit'!F35</f>
        <v>68.55</v>
      </c>
      <c r="G29" s="92">
        <v>327.52</v>
      </c>
      <c r="H29" s="254">
        <f>F29*327.52</f>
        <v>22451.496</v>
      </c>
      <c r="J29" s="92">
        <f>'Rua Projetada 90'!H24+'Rua Polo'!H24+'Projetada 2'!H23+'Rua José Calegari'!H23+'Rua Francisco Schimit'!H35</f>
        <v>22451.496000000003</v>
      </c>
      <c r="K29" s="368">
        <f aca="true" t="shared" si="0" ref="K29:K74">H29-J29</f>
        <v>0</v>
      </c>
      <c r="L29" s="169"/>
      <c r="M29" s="90">
        <f>25.69+4+31.86+4</f>
        <v>65.55</v>
      </c>
    </row>
    <row r="30" spans="1:13" ht="72">
      <c r="A30" s="41" t="s">
        <v>301</v>
      </c>
      <c r="B30" s="38" t="s">
        <v>57</v>
      </c>
      <c r="C30" s="39" t="s">
        <v>77</v>
      </c>
      <c r="D30" s="142" t="s">
        <v>78</v>
      </c>
      <c r="E30" s="25" t="s">
        <v>6</v>
      </c>
      <c r="F30" s="50">
        <f>'Projetada 2'!F24+'Rua Polo'!F25</f>
        <v>5.13</v>
      </c>
      <c r="G30" s="370">
        <f>360.34*H4</f>
        <v>463.433274</v>
      </c>
      <c r="H30" s="250">
        <f>F30*463.43</f>
        <v>2377.3959</v>
      </c>
      <c r="J30" s="50">
        <f>'Projetada 2'!H24+'Rua Polo'!H25</f>
        <v>2377.4126956199993</v>
      </c>
      <c r="K30" s="162">
        <f t="shared" si="0"/>
        <v>-0.01679561999935686</v>
      </c>
      <c r="L30" s="168"/>
      <c r="M30" s="5">
        <f>0.68+0.15</f>
        <v>0.8300000000000001</v>
      </c>
    </row>
    <row r="31" spans="1:13" ht="36.75" customHeight="1">
      <c r="A31" s="95" t="s">
        <v>321</v>
      </c>
      <c r="B31" s="91" t="s">
        <v>19</v>
      </c>
      <c r="C31" s="96" t="s">
        <v>324</v>
      </c>
      <c r="D31" s="367" t="s">
        <v>322</v>
      </c>
      <c r="E31" s="97" t="s">
        <v>323</v>
      </c>
      <c r="F31" s="92">
        <f>'Rua Polo'!F26+'Rua Thereza '!F24+'Projetada 2'!F25+'Rua do Cemiterio'!F15</f>
        <v>294.03</v>
      </c>
      <c r="G31" s="370">
        <v>220.71</v>
      </c>
      <c r="H31" s="254">
        <f>F31*220.71</f>
        <v>64895.3613</v>
      </c>
      <c r="J31" s="50">
        <f>'Rua Polo'!H26+'Rua Thereza '!H24+'Projetada 2'!H25+'Rua do Cemiterio'!H15</f>
        <v>64895.361300000004</v>
      </c>
      <c r="K31" s="162">
        <f t="shared" si="0"/>
        <v>0</v>
      </c>
      <c r="L31" s="168"/>
      <c r="M31" s="5">
        <f>107.67+16.99+5.56</f>
        <v>130.22</v>
      </c>
    </row>
    <row r="32" spans="1:13" ht="18">
      <c r="A32" s="41" t="s">
        <v>303</v>
      </c>
      <c r="B32" s="91" t="s">
        <v>57</v>
      </c>
      <c r="C32" s="96" t="s">
        <v>79</v>
      </c>
      <c r="D32" s="369" t="s">
        <v>80</v>
      </c>
      <c r="E32" s="97" t="s">
        <v>6</v>
      </c>
      <c r="F32" s="92">
        <f>'Rua Polo'!F27</f>
        <v>21.9336</v>
      </c>
      <c r="G32" s="370">
        <f>299.6*H4</f>
        <v>385.31556000000006</v>
      </c>
      <c r="H32" s="254">
        <f>F32*385.32</f>
        <v>8451.454752</v>
      </c>
      <c r="J32" s="50">
        <f>'Rua Polo'!H27</f>
        <v>8451.357366816</v>
      </c>
      <c r="K32" s="162">
        <f t="shared" si="0"/>
        <v>0.09738518399899476</v>
      </c>
      <c r="L32" s="168"/>
      <c r="M32" s="5">
        <f>19.67+0.84+1.41+7.05</f>
        <v>28.970000000000002</v>
      </c>
    </row>
    <row r="33" spans="1:12" ht="108">
      <c r="A33" s="41" t="s">
        <v>304</v>
      </c>
      <c r="B33" s="91" t="s">
        <v>310</v>
      </c>
      <c r="C33" s="96" t="s">
        <v>311</v>
      </c>
      <c r="D33" s="367" t="s">
        <v>312</v>
      </c>
      <c r="E33" s="97" t="s">
        <v>32</v>
      </c>
      <c r="F33" s="92">
        <f>'Rua Projetada 90'!F23+'Projetada 2'!F27+'Rua do Cemiterio'!F16</f>
        <v>9</v>
      </c>
      <c r="G33" s="370">
        <f>1205.18*H4</f>
        <v>1549.9819980000002</v>
      </c>
      <c r="H33" s="254">
        <f>F33*1549.98</f>
        <v>13949.82</v>
      </c>
      <c r="J33" s="50">
        <f>'Rua Projetada 90'!H23+'Projetada 2'!H27+'Rua do Cemiterio'!H16</f>
        <v>13949.837982000001</v>
      </c>
      <c r="K33" s="162">
        <f t="shared" si="0"/>
        <v>-0.017982000001211418</v>
      </c>
      <c r="L33" s="168"/>
    </row>
    <row r="34" spans="1:12" ht="36">
      <c r="A34" s="95" t="s">
        <v>305</v>
      </c>
      <c r="B34" s="91" t="s">
        <v>19</v>
      </c>
      <c r="C34" s="96" t="s">
        <v>128</v>
      </c>
      <c r="D34" s="367" t="s">
        <v>129</v>
      </c>
      <c r="E34" s="97" t="s">
        <v>0</v>
      </c>
      <c r="F34" s="92">
        <f>'Projetada 2'!F26</f>
        <v>19.559999999999995</v>
      </c>
      <c r="G34" s="92">
        <v>81.25</v>
      </c>
      <c r="H34" s="254">
        <f>F34*81.25</f>
        <v>1589.2499999999995</v>
      </c>
      <c r="J34" s="50">
        <f>'Projetada 2'!H26</f>
        <v>1589.2499999999995</v>
      </c>
      <c r="K34" s="162">
        <f t="shared" si="0"/>
        <v>0</v>
      </c>
      <c r="L34" s="168"/>
    </row>
    <row r="35" spans="1:12" ht="36">
      <c r="A35" s="95" t="s">
        <v>306</v>
      </c>
      <c r="B35" s="91" t="s">
        <v>19</v>
      </c>
      <c r="C35" s="96" t="s">
        <v>130</v>
      </c>
      <c r="D35" s="367" t="s">
        <v>131</v>
      </c>
      <c r="E35" s="97" t="s">
        <v>32</v>
      </c>
      <c r="F35" s="92">
        <f>'Projetada 2'!F28+'Rua do Cemiterio'!F17</f>
        <v>12</v>
      </c>
      <c r="G35" s="92">
        <f>4250.15*0.843739</f>
        <v>3586.01731085</v>
      </c>
      <c r="H35" s="254">
        <f>F35*3586.02</f>
        <v>43032.24</v>
      </c>
      <c r="J35" s="50">
        <f>'Projetada 2'!H28+'Rua do Cemiterio'!H17</f>
        <v>43032.207730199996</v>
      </c>
      <c r="K35" s="162">
        <f t="shared" si="0"/>
        <v>0.032269800001813564</v>
      </c>
      <c r="L35" s="168"/>
    </row>
    <row r="36" spans="1:12" ht="18" customHeight="1">
      <c r="A36" s="388" t="s">
        <v>8</v>
      </c>
      <c r="B36" s="389"/>
      <c r="C36" s="389"/>
      <c r="D36" s="389"/>
      <c r="E36" s="389"/>
      <c r="F36" s="389"/>
      <c r="G36" s="227"/>
      <c r="H36" s="251">
        <f>SUM(H28:H35)</f>
        <v>201643.441452</v>
      </c>
      <c r="J36" s="193">
        <f>SUM(J28:J35)</f>
        <v>201639.238244376</v>
      </c>
      <c r="K36" s="162">
        <f t="shared" si="0"/>
        <v>4.203207623999333</v>
      </c>
      <c r="L36" s="168"/>
    </row>
    <row r="37" spans="1:12" s="90" customFormat="1" ht="18">
      <c r="A37" s="87"/>
      <c r="B37" s="88"/>
      <c r="C37" s="88"/>
      <c r="D37" s="143"/>
      <c r="E37" s="88"/>
      <c r="F37" s="88"/>
      <c r="G37" s="247"/>
      <c r="H37" s="257"/>
      <c r="K37" s="162">
        <f t="shared" si="0"/>
        <v>0</v>
      </c>
      <c r="L37" s="168"/>
    </row>
    <row r="38" spans="1:12" s="9" customFormat="1" ht="18">
      <c r="A38" s="126" t="s">
        <v>63</v>
      </c>
      <c r="B38" s="127"/>
      <c r="C38" s="128"/>
      <c r="D38" s="149" t="s">
        <v>56</v>
      </c>
      <c r="E38" s="129"/>
      <c r="F38" s="255"/>
      <c r="G38" s="258"/>
      <c r="H38" s="256"/>
      <c r="K38" s="162">
        <f t="shared" si="0"/>
        <v>0</v>
      </c>
      <c r="L38" s="168"/>
    </row>
    <row r="39" spans="1:12" s="9" customFormat="1" ht="54">
      <c r="A39" s="41" t="s">
        <v>64</v>
      </c>
      <c r="B39" s="91" t="s">
        <v>259</v>
      </c>
      <c r="C39" s="96"/>
      <c r="D39" s="369" t="s">
        <v>320</v>
      </c>
      <c r="E39" s="97" t="s">
        <v>0</v>
      </c>
      <c r="F39" s="92">
        <f>'Rua Polo'!F31+'Rua José Calegari'!F28+'Rua Thereza '!F28+'Rua do Cemiterio'!F21</f>
        <v>39.58</v>
      </c>
      <c r="G39" s="370">
        <f>'Trincheira drenante'!J48</f>
        <v>3550.4014481369995</v>
      </c>
      <c r="H39" s="254">
        <f>F39*G39</f>
        <v>140524.88931726242</v>
      </c>
      <c r="J39" s="92">
        <f>'Rua Polo'!H31+'Rua José Calegari'!H28+'Rua Thereza '!H28+'Rua do Cemiterio'!H21</f>
        <v>140524.88931726245</v>
      </c>
      <c r="K39" s="162">
        <f t="shared" si="0"/>
        <v>0</v>
      </c>
      <c r="L39" s="168"/>
    </row>
    <row r="40" spans="1:12" ht="18">
      <c r="A40" s="388" t="s">
        <v>8</v>
      </c>
      <c r="B40" s="389"/>
      <c r="C40" s="389"/>
      <c r="D40" s="389"/>
      <c r="E40" s="389"/>
      <c r="F40" s="389"/>
      <c r="G40" s="243"/>
      <c r="H40" s="251">
        <f>SUM(H39:H39)</f>
        <v>140524.88931726242</v>
      </c>
      <c r="J40" s="162">
        <f>SUM(J39:J39)</f>
        <v>140524.88931726245</v>
      </c>
      <c r="K40" s="162">
        <f t="shared" si="0"/>
        <v>0</v>
      </c>
      <c r="L40" s="168"/>
    </row>
    <row r="41" spans="1:12" s="10" customFormat="1" ht="18">
      <c r="A41" s="390" t="s">
        <v>33</v>
      </c>
      <c r="B41" s="391"/>
      <c r="C41" s="391"/>
      <c r="D41" s="391"/>
      <c r="E41" s="391"/>
      <c r="F41" s="391"/>
      <c r="G41" s="244"/>
      <c r="H41" s="252">
        <f>H40+H36</f>
        <v>342168.3307692624</v>
      </c>
      <c r="J41" s="104">
        <f>J40+J36</f>
        <v>342164.1275616385</v>
      </c>
      <c r="K41" s="162">
        <f t="shared" si="0"/>
        <v>4.2032076239120215</v>
      </c>
      <c r="L41" s="168"/>
    </row>
    <row r="42" spans="1:12" s="10" customFormat="1" ht="18">
      <c r="A42" s="81"/>
      <c r="B42" s="74"/>
      <c r="C42" s="75"/>
      <c r="D42" s="138"/>
      <c r="E42" s="44"/>
      <c r="F42" s="259"/>
      <c r="G42" s="260"/>
      <c r="H42" s="261"/>
      <c r="K42" s="162">
        <f t="shared" si="0"/>
        <v>0</v>
      </c>
      <c r="L42" s="168"/>
    </row>
    <row r="43" spans="1:12" s="9" customFormat="1" ht="18">
      <c r="A43" s="82">
        <v>4</v>
      </c>
      <c r="B43" s="29"/>
      <c r="C43" s="30"/>
      <c r="D43" s="148" t="s">
        <v>9</v>
      </c>
      <c r="E43" s="31"/>
      <c r="F43" s="262"/>
      <c r="G43" s="263"/>
      <c r="H43" s="264"/>
      <c r="K43" s="162">
        <f t="shared" si="0"/>
        <v>0</v>
      </c>
      <c r="L43" s="168"/>
    </row>
    <row r="44" spans="1:12" s="4" customFormat="1" ht="57.75" customHeight="1">
      <c r="A44" s="95" t="s">
        <v>24</v>
      </c>
      <c r="B44" s="371" t="s">
        <v>57</v>
      </c>
      <c r="C44" s="372" t="s">
        <v>313</v>
      </c>
      <c r="D44" s="373" t="s">
        <v>314</v>
      </c>
      <c r="E44" s="97" t="s">
        <v>5</v>
      </c>
      <c r="F44" s="92">
        <f>'Rua Polo'!F37+'Rua Francisco Schimit'!F22+'Rua José Calegari'!F33+'Rua Projetada 12'!F27+'Rua Projetada 91'!F27+'Rua Projetada 90'!F30+'Projetada 2'!F34+'Rua Thereza '!F33</f>
        <v>6117.949999999999</v>
      </c>
      <c r="G44" s="370">
        <f>42.05*H4</f>
        <v>54.080504999999995</v>
      </c>
      <c r="H44" s="254">
        <f>F44*54.08</f>
        <v>330858.7359999999</v>
      </c>
      <c r="J44" s="50">
        <f>'Rua Polo'!H37+'Rua Francisco Schimit'!H22+'Rua José Calegari'!H33+'Rua Projetada 12'!H27+'Rua Projetada 91'!H27+'Rua Projetada 90'!H30+'Projetada 2'!H34+'Rua Thereza '!H33</f>
        <v>330861.82556474995</v>
      </c>
      <c r="K44" s="162">
        <f t="shared" si="0"/>
        <v>-3.08956475002924</v>
      </c>
      <c r="L44" s="168"/>
    </row>
    <row r="45" spans="1:12" s="4" customFormat="1" ht="72">
      <c r="A45" s="41" t="s">
        <v>41</v>
      </c>
      <c r="B45" s="42" t="s">
        <v>57</v>
      </c>
      <c r="C45" s="43" t="s">
        <v>59</v>
      </c>
      <c r="D45" s="141" t="s">
        <v>60</v>
      </c>
      <c r="E45" s="25" t="s">
        <v>0</v>
      </c>
      <c r="F45" s="50">
        <f>'Rua Polo'!F38+'Rua Francisco Schimit'!F23+'Rua José Calegari'!F34+'Rua Projetada 12'!F28+'Rua Projetada 91'!F28+'Rua Projetada 90'!F29+'Projetada 2'!F35+'Rua Thereza '!F34+'Rua do Cemiterio'!F29</f>
        <v>1093.6599999999999</v>
      </c>
      <c r="G45" s="223">
        <f>18.9*H4</f>
        <v>24.30729</v>
      </c>
      <c r="H45" s="250">
        <f>F45*24.31</f>
        <v>26586.874599999996</v>
      </c>
      <c r="J45" s="50">
        <f>'Rua Polo'!H38+'Rua Francisco Schimit'!H23+'Rua José Calegari'!H34+'Rua Projetada 12'!H28+'Rua Projetada 91'!H28+'Rua Projetada 90'!H29+'Projetada 2'!H35+'Rua Thereza '!H34+'Rua do Cemiterio'!H29</f>
        <v>26583.9107814</v>
      </c>
      <c r="K45" s="162">
        <f t="shared" si="0"/>
        <v>2.9638185999938287</v>
      </c>
      <c r="L45" s="168"/>
    </row>
    <row r="46" spans="1:12" s="4" customFormat="1" ht="72" customHeight="1">
      <c r="A46" s="95" t="s">
        <v>25</v>
      </c>
      <c r="B46" s="42" t="s">
        <v>57</v>
      </c>
      <c r="C46" s="43" t="s">
        <v>72</v>
      </c>
      <c r="D46" s="141" t="s">
        <v>73</v>
      </c>
      <c r="E46" s="25" t="s">
        <v>5</v>
      </c>
      <c r="F46" s="50">
        <f>'Rua Polo'!F39+'Rua Francisco Schimit'!F24+'Rua José Calegari'!F35+'Rua do Cemiterio'!F28</f>
        <v>907.72</v>
      </c>
      <c r="G46" s="370">
        <f>33.53*H4</f>
        <v>43.122933</v>
      </c>
      <c r="H46" s="250">
        <f>F46*43.12</f>
        <v>39140.886399999996</v>
      </c>
      <c r="J46" s="50">
        <f>'Rua Polo'!H39+'Rua Francisco Schimit'!H24+'Rua José Calegari'!H35+'Rua do Cemiterio'!H28</f>
        <v>39143.54874276</v>
      </c>
      <c r="K46" s="162">
        <f t="shared" si="0"/>
        <v>-2.6623427600061405</v>
      </c>
      <c r="L46" s="168"/>
    </row>
    <row r="47" spans="1:12" s="4" customFormat="1" ht="40.5" customHeight="1">
      <c r="A47" s="95" t="s">
        <v>26</v>
      </c>
      <c r="B47" s="371" t="s">
        <v>19</v>
      </c>
      <c r="C47" s="372" t="s">
        <v>102</v>
      </c>
      <c r="D47" s="373" t="s">
        <v>103</v>
      </c>
      <c r="E47" s="97" t="s">
        <v>0</v>
      </c>
      <c r="F47" s="92">
        <f>'Rua Francisco Schimit'!F25+'Rua José Calegari'!F36</f>
        <v>14.16</v>
      </c>
      <c r="G47" s="370">
        <v>43.95</v>
      </c>
      <c r="H47" s="254">
        <f>F47*43.95</f>
        <v>622.332</v>
      </c>
      <c r="J47" s="50">
        <f>'Rua Francisco Schimit'!H25+'Rua José Calegari'!H36</f>
        <v>622.3320000000001</v>
      </c>
      <c r="K47" s="162">
        <f t="shared" si="0"/>
        <v>0</v>
      </c>
      <c r="L47" s="168"/>
    </row>
    <row r="48" spans="1:12" s="4" customFormat="1" ht="18">
      <c r="A48" s="95" t="s">
        <v>105</v>
      </c>
      <c r="B48" s="91" t="s">
        <v>19</v>
      </c>
      <c r="C48" s="372" t="s">
        <v>165</v>
      </c>
      <c r="D48" s="374" t="s">
        <v>166</v>
      </c>
      <c r="E48" s="97" t="s">
        <v>5</v>
      </c>
      <c r="F48" s="375">
        <f>'Rua do Cemiterio'!F26</f>
        <v>157.60000000000002</v>
      </c>
      <c r="G48" s="375">
        <v>2.18</v>
      </c>
      <c r="H48" s="254">
        <f>F48*2.18</f>
        <v>343.5680000000001</v>
      </c>
      <c r="J48" s="224">
        <f>'Rua do Cemiterio'!H26</f>
        <v>343.5680000000001</v>
      </c>
      <c r="K48" s="162">
        <f t="shared" si="0"/>
        <v>0</v>
      </c>
      <c r="L48" s="168"/>
    </row>
    <row r="49" spans="1:12" s="4" customFormat="1" ht="36" customHeight="1">
      <c r="A49" s="41" t="s">
        <v>167</v>
      </c>
      <c r="B49" s="42" t="s">
        <v>19</v>
      </c>
      <c r="C49" s="43" t="s">
        <v>308</v>
      </c>
      <c r="D49" s="137" t="s">
        <v>309</v>
      </c>
      <c r="E49" s="25" t="s">
        <v>5</v>
      </c>
      <c r="F49" s="224">
        <f>'Rua do Cemiterio'!F27</f>
        <v>1348</v>
      </c>
      <c r="G49" s="223">
        <f>9.82*0.965575</f>
        <v>9.4819465</v>
      </c>
      <c r="H49" s="250">
        <f>F49*9.48</f>
        <v>12779.04</v>
      </c>
      <c r="J49" s="224">
        <f>'Rua do Cemiterio'!H27</f>
        <v>12781.663881999999</v>
      </c>
      <c r="K49" s="162">
        <f t="shared" si="0"/>
        <v>-2.623881999998048</v>
      </c>
      <c r="L49" s="168"/>
    </row>
    <row r="50" spans="1:12" s="4" customFormat="1" ht="18">
      <c r="A50" s="388" t="s">
        <v>8</v>
      </c>
      <c r="B50" s="389"/>
      <c r="C50" s="389"/>
      <c r="D50" s="389"/>
      <c r="E50" s="389"/>
      <c r="F50" s="389"/>
      <c r="G50" s="243"/>
      <c r="H50" s="251">
        <f>SUM(H44:H49)</f>
        <v>410331.4369999999</v>
      </c>
      <c r="J50" s="108">
        <f>SUM(J44:J49)</f>
        <v>410336.84897090995</v>
      </c>
      <c r="K50" s="162">
        <f t="shared" si="0"/>
        <v>-5.411970910034142</v>
      </c>
      <c r="L50" s="168"/>
    </row>
    <row r="51" spans="1:12" ht="18">
      <c r="A51" s="390" t="s">
        <v>23</v>
      </c>
      <c r="B51" s="391"/>
      <c r="C51" s="391"/>
      <c r="D51" s="391"/>
      <c r="E51" s="391"/>
      <c r="F51" s="391"/>
      <c r="G51" s="244"/>
      <c r="H51" s="252">
        <f>H50</f>
        <v>410331.4369999999</v>
      </c>
      <c r="J51" s="252">
        <f>J50</f>
        <v>410336.84897090995</v>
      </c>
      <c r="K51" s="162">
        <f t="shared" si="0"/>
        <v>-5.411970910034142</v>
      </c>
      <c r="L51" s="168"/>
    </row>
    <row r="52" spans="1:12" ht="18">
      <c r="A52" s="83"/>
      <c r="B52" s="78"/>
      <c r="C52" s="78"/>
      <c r="D52" s="138"/>
      <c r="E52" s="42"/>
      <c r="F52" s="50"/>
      <c r="G52" s="223"/>
      <c r="H52" s="253"/>
      <c r="K52" s="162">
        <f t="shared" si="0"/>
        <v>0</v>
      </c>
      <c r="L52" s="168"/>
    </row>
    <row r="53" spans="1:12" ht="18">
      <c r="A53" s="82" t="s">
        <v>66</v>
      </c>
      <c r="B53" s="29"/>
      <c r="C53" s="30"/>
      <c r="D53" s="148" t="s">
        <v>38</v>
      </c>
      <c r="E53" s="31"/>
      <c r="F53" s="262"/>
      <c r="G53" s="263"/>
      <c r="H53" s="264"/>
      <c r="K53" s="162">
        <f t="shared" si="0"/>
        <v>0</v>
      </c>
      <c r="L53" s="168"/>
    </row>
    <row r="54" spans="1:14" ht="36">
      <c r="A54" s="95" t="s">
        <v>67</v>
      </c>
      <c r="B54" s="91" t="s">
        <v>19</v>
      </c>
      <c r="C54" s="372" t="s">
        <v>54</v>
      </c>
      <c r="D54" s="373" t="s">
        <v>53</v>
      </c>
      <c r="E54" s="97" t="s">
        <v>5</v>
      </c>
      <c r="F54" s="92">
        <f>'Rua Polo'!F44+'Rua Francisco Schimit'!F30+'Rua José Calegari'!F41+'Rua Projetada 90'!F35+'Projetada 2'!F40</f>
        <v>4.0338</v>
      </c>
      <c r="G54" s="370">
        <v>401.26</v>
      </c>
      <c r="H54" s="254">
        <f>F54*401.26</f>
        <v>1618.602588</v>
      </c>
      <c r="J54" s="50">
        <f>'Rua Polo'!H44+'Rua Francisco Schimit'!H30+'Rua José Calegari'!H41+'Rua Projetada 90'!H35+'Projetada 2'!H40</f>
        <v>1618.6025880000002</v>
      </c>
      <c r="K54" s="162">
        <f t="shared" si="0"/>
        <v>0</v>
      </c>
      <c r="L54" s="168"/>
      <c r="M54" s="103"/>
      <c r="N54" s="107"/>
    </row>
    <row r="55" spans="1:12" ht="18">
      <c r="A55" s="388" t="s">
        <v>8</v>
      </c>
      <c r="B55" s="389"/>
      <c r="C55" s="389"/>
      <c r="D55" s="389"/>
      <c r="E55" s="389"/>
      <c r="F55" s="389"/>
      <c r="G55" s="243"/>
      <c r="H55" s="251">
        <f>SUM(H54:H54)</f>
        <v>1618.602588</v>
      </c>
      <c r="J55" s="251">
        <f>SUM(J54:J54)</f>
        <v>1618.6025880000002</v>
      </c>
      <c r="K55" s="162">
        <f t="shared" si="0"/>
        <v>0</v>
      </c>
      <c r="L55" s="168"/>
    </row>
    <row r="56" spans="1:12" ht="18">
      <c r="A56" s="390" t="s">
        <v>71</v>
      </c>
      <c r="B56" s="391"/>
      <c r="C56" s="391"/>
      <c r="D56" s="391"/>
      <c r="E56" s="391"/>
      <c r="F56" s="391"/>
      <c r="G56" s="244"/>
      <c r="H56" s="252">
        <f>H55</f>
        <v>1618.602588</v>
      </c>
      <c r="J56" s="252">
        <f>J55</f>
        <v>1618.6025880000002</v>
      </c>
      <c r="K56" s="162">
        <f t="shared" si="0"/>
        <v>0</v>
      </c>
      <c r="L56" s="168"/>
    </row>
    <row r="57" spans="1:12" ht="18">
      <c r="A57" s="84"/>
      <c r="B57" s="79"/>
      <c r="C57" s="79"/>
      <c r="D57" s="143"/>
      <c r="E57" s="88"/>
      <c r="F57" s="265"/>
      <c r="G57" s="266"/>
      <c r="H57" s="267"/>
      <c r="K57" s="162">
        <f t="shared" si="0"/>
        <v>0</v>
      </c>
      <c r="L57" s="168"/>
    </row>
    <row r="58" spans="1:12" ht="18">
      <c r="A58" s="82" t="s">
        <v>68</v>
      </c>
      <c r="B58" s="29"/>
      <c r="C58" s="30"/>
      <c r="D58" s="77" t="s">
        <v>45</v>
      </c>
      <c r="E58" s="31"/>
      <c r="F58" s="262"/>
      <c r="G58" s="262"/>
      <c r="H58" s="264"/>
      <c r="K58" s="162">
        <f t="shared" si="0"/>
        <v>0</v>
      </c>
      <c r="L58" s="168"/>
    </row>
    <row r="59" spans="1:12" ht="18">
      <c r="A59" s="95" t="s">
        <v>42</v>
      </c>
      <c r="B59" s="91" t="s">
        <v>107</v>
      </c>
      <c r="C59" s="372" t="s">
        <v>108</v>
      </c>
      <c r="D59" s="373" t="s">
        <v>109</v>
      </c>
      <c r="E59" s="97" t="s">
        <v>6</v>
      </c>
      <c r="F59" s="92">
        <f>'Rua José Calegari'!F46</f>
        <v>1.265</v>
      </c>
      <c r="G59" s="370">
        <f>110.62*0.925889</f>
        <v>102.42184118</v>
      </c>
      <c r="H59" s="254">
        <f>F59*102.42</f>
        <v>129.5613</v>
      </c>
      <c r="J59" s="92">
        <f>'Rua José Calegari'!H46</f>
        <v>129.56362909269998</v>
      </c>
      <c r="K59" s="162">
        <f t="shared" si="0"/>
        <v>-0.002329092699994817</v>
      </c>
      <c r="L59" s="168"/>
    </row>
    <row r="60" spans="1:12" ht="18">
      <c r="A60" s="95" t="s">
        <v>85</v>
      </c>
      <c r="B60" s="38" t="s">
        <v>57</v>
      </c>
      <c r="C60" s="43" t="s">
        <v>110</v>
      </c>
      <c r="D60" s="141" t="s">
        <v>111</v>
      </c>
      <c r="E60" s="25" t="s">
        <v>5</v>
      </c>
      <c r="F60" s="92">
        <f>'Rua José Calegari'!F47</f>
        <v>12.65</v>
      </c>
      <c r="G60" s="223">
        <f>10.39*H4</f>
        <v>13.362579</v>
      </c>
      <c r="H60" s="250">
        <f>F60*13.36</f>
        <v>169.004</v>
      </c>
      <c r="J60" s="92">
        <f>'Rua José Calegari'!H47</f>
        <v>169.03662435</v>
      </c>
      <c r="K60" s="162">
        <f t="shared" si="0"/>
        <v>-0.032624350000020286</v>
      </c>
      <c r="L60" s="168"/>
    </row>
    <row r="61" spans="1:12" ht="36">
      <c r="A61" s="95" t="s">
        <v>124</v>
      </c>
      <c r="B61" s="38" t="s">
        <v>57</v>
      </c>
      <c r="C61" s="43" t="s">
        <v>132</v>
      </c>
      <c r="D61" s="141" t="s">
        <v>133</v>
      </c>
      <c r="E61" s="25" t="s">
        <v>6</v>
      </c>
      <c r="F61" s="50">
        <f>'Projetada 2'!F45</f>
        <v>15.021</v>
      </c>
      <c r="G61" s="223">
        <f>1690.98*H4</f>
        <v>2174.769378</v>
      </c>
      <c r="H61" s="250">
        <f>F61*2174.77</f>
        <v>32667.22017</v>
      </c>
      <c r="J61" s="50">
        <f>'Projetada 2'!H45</f>
        <v>32667.210826938</v>
      </c>
      <c r="K61" s="162">
        <f t="shared" si="0"/>
        <v>0.009343061999970814</v>
      </c>
      <c r="L61" s="168"/>
    </row>
    <row r="62" spans="1:12" ht="36">
      <c r="A62" s="95" t="s">
        <v>125</v>
      </c>
      <c r="B62" s="38" t="s">
        <v>57</v>
      </c>
      <c r="C62" s="43" t="s">
        <v>134</v>
      </c>
      <c r="D62" s="141" t="s">
        <v>135</v>
      </c>
      <c r="E62" s="25" t="s">
        <v>0</v>
      </c>
      <c r="F62" s="50">
        <f>'Projetada 2'!F46</f>
        <v>48.14</v>
      </c>
      <c r="G62" s="223">
        <f>50.66*H4</f>
        <v>65.153826</v>
      </c>
      <c r="H62" s="250">
        <f>F62*65.15</f>
        <v>3136.3210000000004</v>
      </c>
      <c r="J62" s="50">
        <f>'Projetada 2'!H46</f>
        <v>3136.50518364</v>
      </c>
      <c r="K62" s="162">
        <f t="shared" si="0"/>
        <v>-0.1841836399994463</v>
      </c>
      <c r="L62" s="168"/>
    </row>
    <row r="63" spans="1:12" ht="73.5" customHeight="1">
      <c r="A63" s="95" t="s">
        <v>138</v>
      </c>
      <c r="B63" s="91" t="s">
        <v>107</v>
      </c>
      <c r="C63" s="372" t="s">
        <v>136</v>
      </c>
      <c r="D63" s="373" t="s">
        <v>137</v>
      </c>
      <c r="E63" s="97" t="s">
        <v>5</v>
      </c>
      <c r="F63" s="92">
        <f>'Projetada 2'!F47</f>
        <v>24.64</v>
      </c>
      <c r="G63" s="370">
        <f>136.78*0.925889</f>
        <v>126.64309741999999</v>
      </c>
      <c r="H63" s="254">
        <f>F63*126.64</f>
        <v>3120.4096</v>
      </c>
      <c r="I63" s="370">
        <f>136.78*0.925889</f>
        <v>126.64309741999999</v>
      </c>
      <c r="J63" s="50">
        <f>'Projetada 2'!H47</f>
        <v>3120.4859204288</v>
      </c>
      <c r="K63" s="162">
        <f t="shared" si="0"/>
        <v>-0.07632042880004519</v>
      </c>
      <c r="L63" s="168"/>
    </row>
    <row r="64" spans="1:11" ht="18">
      <c r="A64" s="388" t="s">
        <v>8</v>
      </c>
      <c r="B64" s="389"/>
      <c r="C64" s="389"/>
      <c r="D64" s="389"/>
      <c r="E64" s="389"/>
      <c r="F64" s="389"/>
      <c r="G64" s="377"/>
      <c r="H64" s="251">
        <f>SUM(H59:H63)</f>
        <v>39222.516070000005</v>
      </c>
      <c r="J64" s="251">
        <f>SUM(J59:J63)</f>
        <v>39222.8021844495</v>
      </c>
      <c r="K64" s="162">
        <f t="shared" si="0"/>
        <v>-0.286114449496381</v>
      </c>
    </row>
    <row r="65" spans="1:11" ht="18">
      <c r="A65" s="390" t="s">
        <v>40</v>
      </c>
      <c r="B65" s="391"/>
      <c r="C65" s="391"/>
      <c r="D65" s="391"/>
      <c r="E65" s="391"/>
      <c r="F65" s="391"/>
      <c r="G65" s="244"/>
      <c r="H65" s="252">
        <f>H64</f>
        <v>39222.516070000005</v>
      </c>
      <c r="J65" s="252">
        <f>J64</f>
        <v>39222.8021844495</v>
      </c>
      <c r="K65" s="162">
        <f t="shared" si="0"/>
        <v>-0.286114449496381</v>
      </c>
    </row>
    <row r="66" spans="1:11" ht="18">
      <c r="A66" s="161"/>
      <c r="B66" s="160"/>
      <c r="C66" s="160"/>
      <c r="D66" s="160"/>
      <c r="E66" s="160"/>
      <c r="F66" s="160"/>
      <c r="G66" s="160"/>
      <c r="H66" s="268"/>
      <c r="K66" s="162">
        <f t="shared" si="0"/>
        <v>0</v>
      </c>
    </row>
    <row r="67" spans="1:11" ht="18">
      <c r="A67" s="82" t="s">
        <v>117</v>
      </c>
      <c r="B67" s="29"/>
      <c r="C67" s="30"/>
      <c r="D67" s="148" t="s">
        <v>123</v>
      </c>
      <c r="E67" s="31"/>
      <c r="F67" s="262"/>
      <c r="G67" s="262"/>
      <c r="H67" s="264"/>
      <c r="K67" s="162">
        <f t="shared" si="0"/>
        <v>0</v>
      </c>
    </row>
    <row r="68" spans="1:11" ht="36">
      <c r="A68" s="41" t="s">
        <v>118</v>
      </c>
      <c r="B68" s="38" t="s">
        <v>57</v>
      </c>
      <c r="C68" s="43" t="s">
        <v>61</v>
      </c>
      <c r="D68" s="141" t="s">
        <v>62</v>
      </c>
      <c r="E68" s="25" t="s">
        <v>32</v>
      </c>
      <c r="F68" s="50">
        <v>1</v>
      </c>
      <c r="G68" s="223">
        <f>625.7*H4</f>
        <v>804.7127700000001</v>
      </c>
      <c r="H68" s="250">
        <f>F68*G68</f>
        <v>804.7127700000001</v>
      </c>
      <c r="J68" s="5">
        <v>782.125</v>
      </c>
      <c r="K68" s="162">
        <f t="shared" si="0"/>
        <v>22.58777000000009</v>
      </c>
    </row>
    <row r="69" spans="1:11" ht="36">
      <c r="A69" s="41" t="s">
        <v>119</v>
      </c>
      <c r="B69" s="38" t="s">
        <v>57</v>
      </c>
      <c r="C69" s="43" t="s">
        <v>83</v>
      </c>
      <c r="D69" s="141" t="s">
        <v>84</v>
      </c>
      <c r="E69" s="25" t="s">
        <v>6</v>
      </c>
      <c r="F69" s="50">
        <v>0.0465</v>
      </c>
      <c r="G69" s="223">
        <f>293.22*H4</f>
        <v>377.110242</v>
      </c>
      <c r="H69" s="250">
        <f>F69*G69</f>
        <v>17.535626253</v>
      </c>
      <c r="J69" s="5">
        <v>17.043412500000002</v>
      </c>
      <c r="K69" s="162">
        <f t="shared" si="0"/>
        <v>0.4922137529999979</v>
      </c>
    </row>
    <row r="70" spans="1:11" ht="18">
      <c r="A70" s="388" t="s">
        <v>8</v>
      </c>
      <c r="B70" s="389"/>
      <c r="C70" s="389"/>
      <c r="D70" s="389"/>
      <c r="E70" s="389"/>
      <c r="F70" s="389"/>
      <c r="G70" s="227"/>
      <c r="H70" s="251">
        <f>SUM(H68:H69)</f>
        <v>822.2483962530001</v>
      </c>
      <c r="J70" s="251">
        <f>SUM(J68:J69)</f>
        <v>799.1684125</v>
      </c>
      <c r="K70" s="162">
        <f t="shared" si="0"/>
        <v>23.07998375300008</v>
      </c>
    </row>
    <row r="71" spans="1:11" ht="18">
      <c r="A71" s="390" t="s">
        <v>120</v>
      </c>
      <c r="B71" s="391"/>
      <c r="C71" s="391"/>
      <c r="D71" s="391"/>
      <c r="E71" s="391"/>
      <c r="F71" s="391"/>
      <c r="G71" s="244"/>
      <c r="H71" s="252">
        <f>H70</f>
        <v>822.2483962530001</v>
      </c>
      <c r="J71" s="252">
        <f>J70</f>
        <v>799.1684125</v>
      </c>
      <c r="K71" s="162">
        <f t="shared" si="0"/>
        <v>23.07998375300008</v>
      </c>
    </row>
    <row r="72" spans="1:11" ht="18">
      <c r="A72" s="81"/>
      <c r="B72" s="74"/>
      <c r="C72" s="74"/>
      <c r="D72" s="138"/>
      <c r="E72" s="44"/>
      <c r="F72" s="259"/>
      <c r="G72" s="260"/>
      <c r="H72" s="261"/>
      <c r="K72" s="162">
        <f t="shared" si="0"/>
        <v>0</v>
      </c>
    </row>
    <row r="73" spans="1:11" ht="18.75" thickBot="1">
      <c r="A73" s="392" t="s">
        <v>10</v>
      </c>
      <c r="B73" s="393"/>
      <c r="C73" s="393"/>
      <c r="D73" s="393"/>
      <c r="E73" s="393"/>
      <c r="F73" s="393"/>
      <c r="G73" s="248"/>
      <c r="H73" s="269">
        <f>H71+H56+H51+H41+H24+H16+H65</f>
        <v>886510.3012235153</v>
      </c>
      <c r="J73" s="269">
        <f>J71+J56+J51+J41+J24+J16+J65</f>
        <v>883891.3547174981</v>
      </c>
      <c r="K73" s="162">
        <f t="shared" si="0"/>
        <v>2618.946506017237</v>
      </c>
    </row>
    <row r="74" spans="1:11" ht="18" customHeight="1">
      <c r="A74" s="379"/>
      <c r="B74" s="380"/>
      <c r="C74" s="380"/>
      <c r="D74" s="380"/>
      <c r="E74" s="380"/>
      <c r="F74" s="380"/>
      <c r="G74" s="380"/>
      <c r="H74" s="381"/>
      <c r="K74" s="162">
        <f t="shared" si="0"/>
        <v>0</v>
      </c>
    </row>
    <row r="75" spans="1:11" ht="18" customHeight="1">
      <c r="A75" s="382" t="s">
        <v>48</v>
      </c>
      <c r="B75" s="383"/>
      <c r="C75" s="383"/>
      <c r="D75" s="383"/>
      <c r="E75" s="383"/>
      <c r="F75" s="383"/>
      <c r="G75" s="383"/>
      <c r="H75" s="384"/>
      <c r="J75" s="162">
        <v>1056663.16</v>
      </c>
      <c r="K75" s="5"/>
    </row>
    <row r="76" spans="1:11" ht="15.75" customHeight="1">
      <c r="A76" s="385" t="s">
        <v>49</v>
      </c>
      <c r="B76" s="386"/>
      <c r="C76" s="386"/>
      <c r="D76" s="386"/>
      <c r="E76" s="386"/>
      <c r="F76" s="386"/>
      <c r="G76" s="386"/>
      <c r="H76" s="387"/>
      <c r="J76" s="162">
        <f>J75-H73</f>
        <v>170152.85877648462</v>
      </c>
      <c r="K76" s="5"/>
    </row>
    <row r="77" spans="1:11" ht="18" customHeight="1">
      <c r="A77" s="385" t="s">
        <v>50</v>
      </c>
      <c r="B77" s="386"/>
      <c r="C77" s="386"/>
      <c r="D77" s="386"/>
      <c r="E77" s="386"/>
      <c r="F77" s="386"/>
      <c r="G77" s="386"/>
      <c r="H77" s="387"/>
      <c r="K77" s="5"/>
    </row>
    <row r="78" spans="1:11" ht="18" customHeight="1" thickBot="1">
      <c r="A78" s="85"/>
      <c r="B78" s="86"/>
      <c r="C78" s="86"/>
      <c r="D78" s="144"/>
      <c r="E78" s="270"/>
      <c r="F78" s="270"/>
      <c r="G78" s="270"/>
      <c r="H78" s="287"/>
      <c r="J78" s="162">
        <f>H73-855251.26</f>
        <v>31259.04122351529</v>
      </c>
      <c r="K78" s="5"/>
    </row>
    <row r="79" spans="1:11" ht="18">
      <c r="A79" s="36"/>
      <c r="B79" s="36"/>
      <c r="C79" s="34"/>
      <c r="D79" s="145"/>
      <c r="E79" s="272"/>
      <c r="F79" s="273"/>
      <c r="G79" s="273"/>
      <c r="H79" s="274"/>
      <c r="K79" s="5"/>
    </row>
    <row r="80" spans="1:11" ht="15">
      <c r="A80" s="14"/>
      <c r="B80" s="20"/>
      <c r="C80" s="23"/>
      <c r="D80" s="146"/>
      <c r="E80" s="275"/>
      <c r="F80" s="276"/>
      <c r="G80" s="276"/>
      <c r="H80" s="277" t="e">
        <f>#REF!+'Rua Polo'!#REF!+'Rua Francisco Schimit'!#REF!+'Rua José Calegari'!#REF!+'Rua Projetada 12'!#REF!+'Rua Projetada 90'!#REF!+'Rua Projetada 91'!#REF!+'Rua Thereza '!#REF!+#REF!+'Projetada 2'!#REF!+'Rua do Cemiterio'!#REF!</f>
        <v>#REF!</v>
      </c>
      <c r="K80" s="5"/>
    </row>
    <row r="83" spans="8:11" ht="15">
      <c r="H83" s="271" t="e">
        <f>#REF!-H80</f>
        <v>#REF!</v>
      </c>
      <c r="K83" s="5"/>
    </row>
  </sheetData>
  <sheetProtection/>
  <mergeCells count="30">
    <mergeCell ref="A1:H2"/>
    <mergeCell ref="A3:H3"/>
    <mergeCell ref="A4:D5"/>
    <mergeCell ref="E5:H5"/>
    <mergeCell ref="A6:D6"/>
    <mergeCell ref="E6:H6"/>
    <mergeCell ref="E4:G4"/>
    <mergeCell ref="A7:D7"/>
    <mergeCell ref="E7:H8"/>
    <mergeCell ref="A8:C8"/>
    <mergeCell ref="A16:F16"/>
    <mergeCell ref="A23:F23"/>
    <mergeCell ref="A24:F24"/>
    <mergeCell ref="A71:F71"/>
    <mergeCell ref="A73:F73"/>
    <mergeCell ref="A36:F36"/>
    <mergeCell ref="A40:F40"/>
    <mergeCell ref="A41:F41"/>
    <mergeCell ref="A50:F50"/>
    <mergeCell ref="A51:F51"/>
    <mergeCell ref="A74:H74"/>
    <mergeCell ref="A75:H75"/>
    <mergeCell ref="A76:H76"/>
    <mergeCell ref="A77:H77"/>
    <mergeCell ref="A15:F15"/>
    <mergeCell ref="A64:F64"/>
    <mergeCell ref="A65:F65"/>
    <mergeCell ref="A55:F55"/>
    <mergeCell ref="A56:F56"/>
    <mergeCell ref="A70:F70"/>
  </mergeCells>
  <printOptions/>
  <pageMargins left="0.5118110236220472" right="0.5118110236220472" top="0.7874015748031497" bottom="0.7874015748031497" header="0.31496062992125984" footer="0.31496062992125984"/>
  <pageSetup orientation="portrait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3">
      <selection activeCell="O39" sqref="O39"/>
    </sheetView>
  </sheetViews>
  <sheetFormatPr defaultColWidth="9.140625" defaultRowHeight="15"/>
  <cols>
    <col min="1" max="1" width="10.140625" style="2" customWidth="1"/>
    <col min="2" max="2" width="13.7109375" style="2" customWidth="1"/>
    <col min="3" max="3" width="16.14062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58" customWidth="1"/>
    <col min="8" max="8" width="18.140625" style="59" customWidth="1"/>
    <col min="9" max="9" width="9.57421875" style="5" bestFit="1" customWidth="1"/>
    <col min="10" max="16384" width="9.140625" style="5" customWidth="1"/>
  </cols>
  <sheetData>
    <row r="1" spans="1:8" ht="36" customHeight="1">
      <c r="A1" s="405" t="s">
        <v>34</v>
      </c>
      <c r="B1" s="406"/>
      <c r="C1" s="406"/>
      <c r="D1" s="406"/>
      <c r="E1" s="406"/>
      <c r="F1" s="406"/>
      <c r="G1" s="406"/>
      <c r="H1" s="407"/>
    </row>
    <row r="2" spans="1:8" ht="53.25" customHeight="1" thickBot="1">
      <c r="A2" s="408"/>
      <c r="B2" s="409"/>
      <c r="C2" s="409"/>
      <c r="D2" s="409"/>
      <c r="E2" s="409"/>
      <c r="F2" s="409"/>
      <c r="G2" s="409"/>
      <c r="H2" s="410"/>
    </row>
    <row r="3" spans="1:8" ht="21" customHeight="1">
      <c r="A3" s="411" t="s">
        <v>55</v>
      </c>
      <c r="B3" s="412"/>
      <c r="C3" s="412"/>
      <c r="D3" s="412"/>
      <c r="E3" s="412"/>
      <c r="F3" s="412"/>
      <c r="G3" s="412"/>
      <c r="H3" s="413"/>
    </row>
    <row r="4" spans="1:8" ht="18">
      <c r="A4" s="414" t="s">
        <v>97</v>
      </c>
      <c r="B4" s="415"/>
      <c r="C4" s="415"/>
      <c r="D4" s="415"/>
      <c r="E4" s="499" t="s">
        <v>75</v>
      </c>
      <c r="F4" s="499"/>
      <c r="G4" s="499"/>
      <c r="H4" s="500"/>
    </row>
    <row r="5" spans="1:8" ht="18">
      <c r="A5" s="414"/>
      <c r="B5" s="415"/>
      <c r="C5" s="415"/>
      <c r="D5" s="415"/>
      <c r="E5" s="499" t="s">
        <v>27</v>
      </c>
      <c r="F5" s="499"/>
      <c r="G5" s="499"/>
      <c r="H5" s="500"/>
    </row>
    <row r="6" spans="1:8" ht="47.25" customHeight="1">
      <c r="A6" s="501" t="s">
        <v>28</v>
      </c>
      <c r="B6" s="502"/>
      <c r="C6" s="502"/>
      <c r="D6" s="502"/>
      <c r="E6" s="503" t="s">
        <v>74</v>
      </c>
      <c r="F6" s="503"/>
      <c r="G6" s="503"/>
      <c r="H6" s="504"/>
    </row>
    <row r="7" spans="1:8" ht="51.75" customHeight="1">
      <c r="A7" s="508" t="s">
        <v>51</v>
      </c>
      <c r="B7" s="509"/>
      <c r="C7" s="509"/>
      <c r="D7" s="509"/>
      <c r="E7" s="510" t="s">
        <v>81</v>
      </c>
      <c r="F7" s="510"/>
      <c r="G7" s="510"/>
      <c r="H7" s="511"/>
    </row>
    <row r="8" spans="1:10" s="6" customFormat="1" ht="45.75" customHeight="1">
      <c r="A8" s="497" t="s">
        <v>98</v>
      </c>
      <c r="B8" s="498"/>
      <c r="C8" s="498"/>
      <c r="D8" s="152" t="s">
        <v>76</v>
      </c>
      <c r="E8" s="510"/>
      <c r="F8" s="510"/>
      <c r="G8" s="510"/>
      <c r="H8" s="511"/>
      <c r="I8" s="5"/>
      <c r="J8" s="5"/>
    </row>
    <row r="9" spans="1:11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58" t="s">
        <v>3</v>
      </c>
      <c r="H9" s="159" t="s">
        <v>4</v>
      </c>
      <c r="I9" s="1"/>
      <c r="J9" s="1"/>
      <c r="K9" s="285">
        <f>'Planilha Geral'!H4</f>
        <v>1.2861</v>
      </c>
    </row>
    <row r="10" spans="1:10" s="7" customFormat="1" ht="18">
      <c r="A10" s="40">
        <v>1</v>
      </c>
      <c r="B10" s="121"/>
      <c r="C10" s="122"/>
      <c r="D10" s="77" t="s">
        <v>18</v>
      </c>
      <c r="E10" s="121"/>
      <c r="F10" s="123"/>
      <c r="G10" s="124"/>
      <c r="H10" s="125"/>
      <c r="I10" s="1"/>
      <c r="J10" s="1"/>
    </row>
    <row r="11" spans="1:8" s="10" customFormat="1" ht="18">
      <c r="A11" s="390" t="s">
        <v>70</v>
      </c>
      <c r="B11" s="391"/>
      <c r="C11" s="391"/>
      <c r="D11" s="391"/>
      <c r="E11" s="391"/>
      <c r="F11" s="391"/>
      <c r="G11" s="282"/>
      <c r="H11" s="109"/>
    </row>
    <row r="12" spans="1:8" s="10" customFormat="1" ht="18">
      <c r="A12" s="133"/>
      <c r="B12" s="44"/>
      <c r="C12" s="44"/>
      <c r="D12" s="44"/>
      <c r="E12" s="44"/>
      <c r="F12" s="44"/>
      <c r="G12" s="44"/>
      <c r="H12" s="106"/>
    </row>
    <row r="13" spans="1:10" s="7" customFormat="1" ht="18">
      <c r="A13" s="40">
        <v>2</v>
      </c>
      <c r="B13" s="121"/>
      <c r="C13" s="122"/>
      <c r="D13" s="77" t="s">
        <v>16</v>
      </c>
      <c r="E13" s="121"/>
      <c r="F13" s="123"/>
      <c r="G13" s="124"/>
      <c r="H13" s="125"/>
      <c r="I13" s="1"/>
      <c r="J13" s="1"/>
    </row>
    <row r="14" spans="1:10" s="7" customFormat="1" ht="36">
      <c r="A14" s="37" t="s">
        <v>12</v>
      </c>
      <c r="B14" s="38" t="s">
        <v>20</v>
      </c>
      <c r="C14" s="39" t="s">
        <v>46</v>
      </c>
      <c r="D14" s="26" t="s">
        <v>35</v>
      </c>
      <c r="E14" s="25" t="s">
        <v>6</v>
      </c>
      <c r="F14" s="50"/>
      <c r="G14" s="50" t="s">
        <v>52</v>
      </c>
      <c r="H14" s="107"/>
      <c r="I14" s="16" t="e">
        <f>H14-#REF!</f>
        <v>#REF!</v>
      </c>
      <c r="J14" s="1"/>
    </row>
    <row r="15" spans="1:10" s="7" customFormat="1" ht="18">
      <c r="A15" s="37" t="s">
        <v>13</v>
      </c>
      <c r="B15" s="38" t="s">
        <v>20</v>
      </c>
      <c r="C15" s="39" t="s">
        <v>47</v>
      </c>
      <c r="D15" s="26" t="s">
        <v>29</v>
      </c>
      <c r="E15" s="25" t="s">
        <v>6</v>
      </c>
      <c r="F15" s="50"/>
      <c r="G15" s="50" t="s">
        <v>52</v>
      </c>
      <c r="H15" s="107"/>
      <c r="I15" s="16" t="e">
        <f>H15-#REF!</f>
        <v>#REF!</v>
      </c>
      <c r="J15" s="1"/>
    </row>
    <row r="16" spans="1:10" s="101" customFormat="1" ht="72">
      <c r="A16" s="98" t="s">
        <v>14</v>
      </c>
      <c r="B16" s="91" t="s">
        <v>57</v>
      </c>
      <c r="C16" s="96" t="s">
        <v>58</v>
      </c>
      <c r="D16" s="102" t="s">
        <v>30</v>
      </c>
      <c r="E16" s="97" t="s">
        <v>6</v>
      </c>
      <c r="F16" s="92"/>
      <c r="G16" s="92" t="s">
        <v>52</v>
      </c>
      <c r="H16" s="110"/>
      <c r="I16" s="94" t="e">
        <f>H16-#REF!</f>
        <v>#REF!</v>
      </c>
      <c r="J16" s="100"/>
    </row>
    <row r="17" spans="1:10" s="7" customFormat="1" ht="36">
      <c r="A17" s="37" t="s">
        <v>15</v>
      </c>
      <c r="B17" s="38" t="s">
        <v>19</v>
      </c>
      <c r="C17" s="43" t="s">
        <v>39</v>
      </c>
      <c r="D17" s="27" t="s">
        <v>21</v>
      </c>
      <c r="E17" s="25" t="s">
        <v>5</v>
      </c>
      <c r="F17" s="50"/>
      <c r="G17" s="50" t="s">
        <v>52</v>
      </c>
      <c r="H17" s="107"/>
      <c r="I17" s="16"/>
      <c r="J17" s="1"/>
    </row>
    <row r="18" spans="1:10" s="7" customFormat="1" ht="18">
      <c r="A18" s="388" t="s">
        <v>8</v>
      </c>
      <c r="B18" s="389"/>
      <c r="C18" s="389"/>
      <c r="D18" s="389"/>
      <c r="E18" s="389"/>
      <c r="F18" s="389"/>
      <c r="G18" s="283"/>
      <c r="H18" s="108">
        <f>SUM(H13:H17)</f>
        <v>0</v>
      </c>
      <c r="I18" s="16" t="e">
        <f>H18-#REF!</f>
        <v>#REF!</v>
      </c>
      <c r="J18" s="1"/>
    </row>
    <row r="19" spans="1:8" s="10" customFormat="1" ht="18">
      <c r="A19" s="390" t="s">
        <v>69</v>
      </c>
      <c r="B19" s="391"/>
      <c r="C19" s="391"/>
      <c r="D19" s="391"/>
      <c r="E19" s="391"/>
      <c r="F19" s="391"/>
      <c r="G19" s="282"/>
      <c r="H19" s="109">
        <f>H18</f>
        <v>0</v>
      </c>
    </row>
    <row r="20" spans="1:8" s="4" customFormat="1" ht="18">
      <c r="A20" s="63"/>
      <c r="B20" s="62"/>
      <c r="C20" s="71"/>
      <c r="D20" s="61"/>
      <c r="E20" s="62"/>
      <c r="F20" s="72"/>
      <c r="G20" s="73"/>
      <c r="H20" s="111"/>
    </row>
    <row r="21" spans="1:8" s="9" customFormat="1" ht="18">
      <c r="A21" s="40" t="s">
        <v>17</v>
      </c>
      <c r="B21" s="29"/>
      <c r="C21" s="30"/>
      <c r="D21" s="150" t="s">
        <v>11</v>
      </c>
      <c r="E21" s="31"/>
      <c r="F21" s="48"/>
      <c r="G21" s="49"/>
      <c r="H21" s="151"/>
    </row>
    <row r="22" spans="1:8" ht="54">
      <c r="A22" s="95" t="s">
        <v>31</v>
      </c>
      <c r="B22" s="91" t="s">
        <v>57</v>
      </c>
      <c r="C22" s="96" t="s">
        <v>317</v>
      </c>
      <c r="D22" s="367" t="s">
        <v>318</v>
      </c>
      <c r="E22" s="97" t="s">
        <v>0</v>
      </c>
      <c r="F22" s="50">
        <v>83.64</v>
      </c>
      <c r="G22" s="50">
        <f>'Planilha Geral'!G28</f>
        <v>32.846994</v>
      </c>
      <c r="H22" s="107">
        <f>F22*G22</f>
        <v>2747.3225781600004</v>
      </c>
    </row>
    <row r="23" spans="1:8" ht="18">
      <c r="A23" s="388" t="s">
        <v>8</v>
      </c>
      <c r="B23" s="389"/>
      <c r="C23" s="389"/>
      <c r="D23" s="389"/>
      <c r="E23" s="389"/>
      <c r="F23" s="389"/>
      <c r="G23" s="283"/>
      <c r="H23" s="108">
        <f>SUM(H22:H22)</f>
        <v>2747.3225781600004</v>
      </c>
    </row>
    <row r="24" spans="1:8" s="10" customFormat="1" ht="18">
      <c r="A24" s="390" t="s">
        <v>33</v>
      </c>
      <c r="B24" s="391"/>
      <c r="C24" s="391"/>
      <c r="D24" s="391"/>
      <c r="E24" s="391"/>
      <c r="F24" s="391"/>
      <c r="G24" s="282"/>
      <c r="H24" s="109">
        <f>H23</f>
        <v>2747.3225781600004</v>
      </c>
    </row>
    <row r="25" spans="1:8" s="10" customFormat="1" ht="18">
      <c r="A25" s="81"/>
      <c r="B25" s="74"/>
      <c r="C25" s="75"/>
      <c r="D25" s="74"/>
      <c r="E25" s="74"/>
      <c r="F25" s="76"/>
      <c r="G25" s="76"/>
      <c r="H25" s="113"/>
    </row>
    <row r="26" spans="1:8" s="9" customFormat="1" ht="18">
      <c r="A26" s="82">
        <v>4</v>
      </c>
      <c r="B26" s="29"/>
      <c r="C26" s="30"/>
      <c r="D26" s="77" t="s">
        <v>9</v>
      </c>
      <c r="E26" s="31"/>
      <c r="F26" s="48"/>
      <c r="G26" s="49"/>
      <c r="H26" s="60"/>
    </row>
    <row r="27" spans="1:9" s="4" customFormat="1" ht="54">
      <c r="A27" s="41" t="s">
        <v>24</v>
      </c>
      <c r="B27" s="371" t="s">
        <v>57</v>
      </c>
      <c r="C27" s="372" t="s">
        <v>313</v>
      </c>
      <c r="D27" s="373" t="s">
        <v>314</v>
      </c>
      <c r="E27" s="97" t="s">
        <v>5</v>
      </c>
      <c r="F27" s="50">
        <v>455.9</v>
      </c>
      <c r="G27" s="50">
        <f>'Planilha Geral'!G44</f>
        <v>54.080504999999995</v>
      </c>
      <c r="H27" s="107">
        <f>F27*G27</f>
        <v>24655.302229499997</v>
      </c>
      <c r="I27" s="22" t="e">
        <f>#REF!-#REF!</f>
        <v>#REF!</v>
      </c>
    </row>
    <row r="28" spans="1:9" s="4" customFormat="1" ht="72">
      <c r="A28" s="41" t="s">
        <v>41</v>
      </c>
      <c r="B28" s="42" t="s">
        <v>57</v>
      </c>
      <c r="C28" s="43" t="s">
        <v>59</v>
      </c>
      <c r="D28" s="27" t="s">
        <v>60</v>
      </c>
      <c r="E28" s="25" t="s">
        <v>0</v>
      </c>
      <c r="F28" s="50">
        <v>124.13</v>
      </c>
      <c r="G28" s="50">
        <f>'Planilha Geral'!G45</f>
        <v>24.30729</v>
      </c>
      <c r="H28" s="107">
        <f>F28*G28</f>
        <v>3017.2639077</v>
      </c>
      <c r="I28" s="22"/>
    </row>
    <row r="29" spans="1:8" s="4" customFormat="1" ht="18">
      <c r="A29" s="388" t="s">
        <v>8</v>
      </c>
      <c r="B29" s="389"/>
      <c r="C29" s="389"/>
      <c r="D29" s="389"/>
      <c r="E29" s="389"/>
      <c r="F29" s="389"/>
      <c r="G29" s="283"/>
      <c r="H29" s="108">
        <f>SUM(H27:H28)</f>
        <v>27672.566137199996</v>
      </c>
    </row>
    <row r="30" spans="1:8" ht="18">
      <c r="A30" s="390" t="s">
        <v>23</v>
      </c>
      <c r="B30" s="391"/>
      <c r="C30" s="391"/>
      <c r="D30" s="391"/>
      <c r="E30" s="391"/>
      <c r="F30" s="391"/>
      <c r="G30" s="282"/>
      <c r="H30" s="109">
        <f>H29</f>
        <v>27672.566137199996</v>
      </c>
    </row>
    <row r="31" spans="1:8" ht="18">
      <c r="A31" s="81"/>
      <c r="B31" s="74"/>
      <c r="C31" s="74"/>
      <c r="D31" s="74"/>
      <c r="E31" s="74"/>
      <c r="F31" s="76"/>
      <c r="G31" s="76"/>
      <c r="H31" s="113"/>
    </row>
    <row r="32" spans="1:8" ht="18.75" thickBot="1">
      <c r="A32" s="392" t="s">
        <v>10</v>
      </c>
      <c r="B32" s="393"/>
      <c r="C32" s="393"/>
      <c r="D32" s="393"/>
      <c r="E32" s="393"/>
      <c r="F32" s="393"/>
      <c r="G32" s="284"/>
      <c r="H32" s="225">
        <f>H30+H24+H19</f>
        <v>30419.888715359997</v>
      </c>
    </row>
    <row r="33" spans="1:8" ht="18" customHeight="1">
      <c r="A33" s="379"/>
      <c r="B33" s="380"/>
      <c r="C33" s="380"/>
      <c r="D33" s="380"/>
      <c r="E33" s="380"/>
      <c r="F33" s="380"/>
      <c r="G33" s="380"/>
      <c r="H33" s="381"/>
    </row>
    <row r="34" spans="1:8" ht="18" customHeight="1">
      <c r="A34" s="382" t="s">
        <v>48</v>
      </c>
      <c r="B34" s="383"/>
      <c r="C34" s="383"/>
      <c r="D34" s="383"/>
      <c r="E34" s="383"/>
      <c r="F34" s="383"/>
      <c r="G34" s="383"/>
      <c r="H34" s="384"/>
    </row>
    <row r="35" spans="1:8" ht="15.75" customHeight="1">
      <c r="A35" s="385" t="s">
        <v>49</v>
      </c>
      <c r="B35" s="386"/>
      <c r="C35" s="386"/>
      <c r="D35" s="386"/>
      <c r="E35" s="386"/>
      <c r="F35" s="386"/>
      <c r="G35" s="386"/>
      <c r="H35" s="387"/>
    </row>
    <row r="36" spans="1:8" ht="18" customHeight="1">
      <c r="A36" s="385" t="s">
        <v>50</v>
      </c>
      <c r="B36" s="386"/>
      <c r="C36" s="386"/>
      <c r="D36" s="386"/>
      <c r="E36" s="386"/>
      <c r="F36" s="386"/>
      <c r="G36" s="386"/>
      <c r="H36" s="387"/>
    </row>
    <row r="37" spans="1:8" ht="18" customHeight="1" thickBot="1">
      <c r="A37" s="85"/>
      <c r="B37" s="86"/>
      <c r="C37" s="86"/>
      <c r="D37" s="86"/>
      <c r="E37" s="86"/>
      <c r="F37" s="86"/>
      <c r="G37" s="86"/>
      <c r="H37" s="115"/>
    </row>
    <row r="38" spans="1:8" ht="18">
      <c r="A38" s="36"/>
      <c r="B38" s="36"/>
      <c r="C38" s="34"/>
      <c r="D38" s="45"/>
      <c r="E38" s="35"/>
      <c r="F38" s="51"/>
      <c r="G38" s="52"/>
      <c r="H38" s="53"/>
    </row>
    <row r="39" spans="1:8" ht="15">
      <c r="A39" s="14"/>
      <c r="B39" s="20"/>
      <c r="C39" s="23"/>
      <c r="D39" s="46"/>
      <c r="E39" s="8"/>
      <c r="F39" s="54"/>
      <c r="G39" s="55"/>
      <c r="H39" s="56"/>
    </row>
  </sheetData>
  <sheetProtection/>
  <mergeCells count="22">
    <mergeCell ref="A1:H2"/>
    <mergeCell ref="A3:H3"/>
    <mergeCell ref="A4:D5"/>
    <mergeCell ref="E4:H4"/>
    <mergeCell ref="E5:H5"/>
    <mergeCell ref="A6:D6"/>
    <mergeCell ref="E6:H6"/>
    <mergeCell ref="A7:D7"/>
    <mergeCell ref="E7:H8"/>
    <mergeCell ref="A8:C8"/>
    <mergeCell ref="A11:F11"/>
    <mergeCell ref="A18:F18"/>
    <mergeCell ref="A19:F19"/>
    <mergeCell ref="A33:H33"/>
    <mergeCell ref="A34:H34"/>
    <mergeCell ref="A35:H35"/>
    <mergeCell ref="A36:H36"/>
    <mergeCell ref="A23:F23"/>
    <mergeCell ref="A24:F24"/>
    <mergeCell ref="A29:F29"/>
    <mergeCell ref="A30:F30"/>
    <mergeCell ref="A32:F32"/>
  </mergeCells>
  <printOptions/>
  <pageMargins left="0.511811024" right="0.511811024" top="0.787401575" bottom="0.787401575" header="0.31496062" footer="0.31496062"/>
  <pageSetup horizontalDpi="600" verticalDpi="600" orientation="portrait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58" zoomScaleSheetLayoutView="58" zoomScalePageLayoutView="0" workbookViewId="0" topLeftCell="A9">
      <selection activeCell="A29" sqref="A29:IV29"/>
    </sheetView>
  </sheetViews>
  <sheetFormatPr defaultColWidth="9.140625" defaultRowHeight="15"/>
  <cols>
    <col min="1" max="1" width="10.140625" style="2" customWidth="1"/>
    <col min="2" max="2" width="13.140625" style="2" customWidth="1"/>
    <col min="3" max="3" width="18.710937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58" customWidth="1"/>
    <col min="8" max="8" width="14.421875" style="59" customWidth="1"/>
    <col min="9" max="16384" width="9.140625" style="5" customWidth="1"/>
  </cols>
  <sheetData>
    <row r="1" spans="1:8" ht="36" customHeight="1">
      <c r="A1" s="405" t="s">
        <v>34</v>
      </c>
      <c r="B1" s="406"/>
      <c r="C1" s="406"/>
      <c r="D1" s="406"/>
      <c r="E1" s="406"/>
      <c r="F1" s="406"/>
      <c r="G1" s="406"/>
      <c r="H1" s="407"/>
    </row>
    <row r="2" spans="1:8" ht="53.25" customHeight="1" thickBot="1">
      <c r="A2" s="408"/>
      <c r="B2" s="409"/>
      <c r="C2" s="409"/>
      <c r="D2" s="409"/>
      <c r="E2" s="409"/>
      <c r="F2" s="409"/>
      <c r="G2" s="409"/>
      <c r="H2" s="410"/>
    </row>
    <row r="3" spans="1:8" ht="21" customHeight="1">
      <c r="A3" s="411" t="s">
        <v>55</v>
      </c>
      <c r="B3" s="412"/>
      <c r="C3" s="412"/>
      <c r="D3" s="412"/>
      <c r="E3" s="412"/>
      <c r="F3" s="412"/>
      <c r="G3" s="412"/>
      <c r="H3" s="413"/>
    </row>
    <row r="4" spans="1:8" ht="18">
      <c r="A4" s="414" t="s">
        <v>115</v>
      </c>
      <c r="B4" s="415"/>
      <c r="C4" s="415"/>
      <c r="D4" s="415"/>
      <c r="E4" s="499" t="s">
        <v>75</v>
      </c>
      <c r="F4" s="499"/>
      <c r="G4" s="499"/>
      <c r="H4" s="500"/>
    </row>
    <row r="5" spans="1:8" ht="23.25" customHeight="1">
      <c r="A5" s="414"/>
      <c r="B5" s="415"/>
      <c r="C5" s="415"/>
      <c r="D5" s="415"/>
      <c r="E5" s="499" t="s">
        <v>27</v>
      </c>
      <c r="F5" s="499"/>
      <c r="G5" s="499"/>
      <c r="H5" s="500"/>
    </row>
    <row r="6" spans="1:8" ht="71.25" customHeight="1">
      <c r="A6" s="501" t="s">
        <v>28</v>
      </c>
      <c r="B6" s="502"/>
      <c r="C6" s="502"/>
      <c r="D6" s="502"/>
      <c r="E6" s="503" t="s">
        <v>74</v>
      </c>
      <c r="F6" s="503"/>
      <c r="G6" s="503"/>
      <c r="H6" s="504"/>
    </row>
    <row r="7" spans="1:8" ht="64.5" customHeight="1">
      <c r="A7" s="508" t="s">
        <v>51</v>
      </c>
      <c r="B7" s="509"/>
      <c r="C7" s="509"/>
      <c r="D7" s="509"/>
      <c r="E7" s="510" t="s">
        <v>81</v>
      </c>
      <c r="F7" s="510"/>
      <c r="G7" s="510"/>
      <c r="H7" s="511"/>
    </row>
    <row r="8" spans="1:8" s="6" customFormat="1" ht="33" customHeight="1">
      <c r="A8" s="497" t="s">
        <v>116</v>
      </c>
      <c r="B8" s="498"/>
      <c r="C8" s="498"/>
      <c r="D8" s="152" t="s">
        <v>76</v>
      </c>
      <c r="E8" s="510"/>
      <c r="F8" s="510"/>
      <c r="G8" s="510"/>
      <c r="H8" s="511"/>
    </row>
    <row r="9" spans="1:11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58" t="s">
        <v>3</v>
      </c>
      <c r="H9" s="159" t="s">
        <v>4</v>
      </c>
      <c r="K9" s="285">
        <f>'Planilha Geral'!H4</f>
        <v>1.2861</v>
      </c>
    </row>
    <row r="10" spans="1:8" s="7" customFormat="1" ht="18">
      <c r="A10" s="40">
        <v>1</v>
      </c>
      <c r="B10" s="121"/>
      <c r="C10" s="122"/>
      <c r="D10" s="77" t="s">
        <v>18</v>
      </c>
      <c r="E10" s="121"/>
      <c r="F10" s="123"/>
      <c r="G10" s="124"/>
      <c r="H10" s="125"/>
    </row>
    <row r="11" spans="1:8" s="10" customFormat="1" ht="18">
      <c r="A11" s="390" t="s">
        <v>70</v>
      </c>
      <c r="B11" s="391"/>
      <c r="C11" s="391"/>
      <c r="D11" s="391"/>
      <c r="E11" s="391"/>
      <c r="F11" s="391"/>
      <c r="G11" s="282"/>
      <c r="H11" s="109"/>
    </row>
    <row r="12" spans="1:8" s="10" customFormat="1" ht="18">
      <c r="A12" s="133"/>
      <c r="B12" s="44"/>
      <c r="C12" s="44"/>
      <c r="D12" s="44"/>
      <c r="E12" s="44"/>
      <c r="F12" s="44"/>
      <c r="G12" s="44"/>
      <c r="H12" s="106"/>
    </row>
    <row r="13" spans="1:8" s="7" customFormat="1" ht="18">
      <c r="A13" s="40">
        <v>2</v>
      </c>
      <c r="B13" s="121"/>
      <c r="C13" s="122"/>
      <c r="D13" s="77" t="s">
        <v>16</v>
      </c>
      <c r="E13" s="121"/>
      <c r="F13" s="123"/>
      <c r="G13" s="124"/>
      <c r="H13" s="125"/>
    </row>
    <row r="14" spans="1:8" s="7" customFormat="1" ht="36">
      <c r="A14" s="37" t="s">
        <v>12</v>
      </c>
      <c r="B14" s="38" t="s">
        <v>20</v>
      </c>
      <c r="C14" s="39" t="s">
        <v>46</v>
      </c>
      <c r="D14" s="26" t="s">
        <v>35</v>
      </c>
      <c r="E14" s="25" t="s">
        <v>6</v>
      </c>
      <c r="F14" s="50"/>
      <c r="G14" s="50" t="s">
        <v>52</v>
      </c>
      <c r="H14" s="107"/>
    </row>
    <row r="15" spans="1:8" s="7" customFormat="1" ht="18">
      <c r="A15" s="37" t="s">
        <v>13</v>
      </c>
      <c r="B15" s="38" t="s">
        <v>20</v>
      </c>
      <c r="C15" s="39" t="s">
        <v>47</v>
      </c>
      <c r="D15" s="26" t="s">
        <v>29</v>
      </c>
      <c r="E15" s="25" t="s">
        <v>6</v>
      </c>
      <c r="F15" s="50"/>
      <c r="G15" s="50" t="s">
        <v>52</v>
      </c>
      <c r="H15" s="107"/>
    </row>
    <row r="16" spans="1:8" s="101" customFormat="1" ht="72">
      <c r="A16" s="98" t="s">
        <v>14</v>
      </c>
      <c r="B16" s="91" t="s">
        <v>57</v>
      </c>
      <c r="C16" s="96" t="s">
        <v>58</v>
      </c>
      <c r="D16" s="102" t="s">
        <v>30</v>
      </c>
      <c r="E16" s="97" t="s">
        <v>6</v>
      </c>
      <c r="F16" s="92"/>
      <c r="G16" s="92" t="s">
        <v>52</v>
      </c>
      <c r="H16" s="110"/>
    </row>
    <row r="17" spans="1:8" s="7" customFormat="1" ht="36">
      <c r="A17" s="37" t="s">
        <v>15</v>
      </c>
      <c r="B17" s="38" t="s">
        <v>19</v>
      </c>
      <c r="C17" s="43" t="s">
        <v>39</v>
      </c>
      <c r="D17" s="27" t="s">
        <v>21</v>
      </c>
      <c r="E17" s="25" t="s">
        <v>5</v>
      </c>
      <c r="F17" s="50"/>
      <c r="G17" s="50" t="s">
        <v>52</v>
      </c>
      <c r="H17" s="107"/>
    </row>
    <row r="18" spans="1:8" s="7" customFormat="1" ht="18">
      <c r="A18" s="388" t="s">
        <v>8</v>
      </c>
      <c r="B18" s="389"/>
      <c r="C18" s="389"/>
      <c r="D18" s="389"/>
      <c r="E18" s="389"/>
      <c r="F18" s="389"/>
      <c r="G18" s="283"/>
      <c r="H18" s="108">
        <f>SUM(H13:H17)</f>
        <v>0</v>
      </c>
    </row>
    <row r="19" spans="1:8" s="10" customFormat="1" ht="18">
      <c r="A19" s="390" t="s">
        <v>69</v>
      </c>
      <c r="B19" s="391"/>
      <c r="C19" s="391"/>
      <c r="D19" s="391"/>
      <c r="E19" s="391"/>
      <c r="F19" s="391"/>
      <c r="G19" s="282"/>
      <c r="H19" s="109">
        <f>H18</f>
        <v>0</v>
      </c>
    </row>
    <row r="20" spans="1:8" s="10" customFormat="1" ht="18">
      <c r="A20" s="133"/>
      <c r="B20" s="44"/>
      <c r="C20" s="44"/>
      <c r="D20" s="44"/>
      <c r="E20" s="44"/>
      <c r="F20" s="44"/>
      <c r="G20" s="44"/>
      <c r="H20" s="106"/>
    </row>
    <row r="21" spans="1:8" s="4" customFormat="1" ht="18">
      <c r="A21" s="40">
        <v>3</v>
      </c>
      <c r="B21" s="121"/>
      <c r="C21" s="122"/>
      <c r="D21" s="77" t="s">
        <v>11</v>
      </c>
      <c r="E21" s="121"/>
      <c r="F21" s="123"/>
      <c r="G21" s="123"/>
      <c r="H21" s="125"/>
    </row>
    <row r="22" spans="1:8" s="9" customFormat="1" ht="18">
      <c r="A22" s="126" t="s">
        <v>17</v>
      </c>
      <c r="B22" s="127"/>
      <c r="C22" s="128"/>
      <c r="D22" s="28" t="s">
        <v>11</v>
      </c>
      <c r="E22" s="129"/>
      <c r="F22" s="130"/>
      <c r="G22" s="131"/>
      <c r="H22" s="132"/>
    </row>
    <row r="23" spans="1:8" ht="54">
      <c r="A23" s="41" t="s">
        <v>31</v>
      </c>
      <c r="B23" s="91" t="s">
        <v>57</v>
      </c>
      <c r="C23" s="96" t="s">
        <v>317</v>
      </c>
      <c r="D23" s="367" t="s">
        <v>318</v>
      </c>
      <c r="E23" s="97" t="s">
        <v>0</v>
      </c>
      <c r="F23" s="50">
        <v>34.169999999999995</v>
      </c>
      <c r="G23" s="50">
        <f>'Planilha Geral'!G28</f>
        <v>32.846994</v>
      </c>
      <c r="H23" s="107">
        <f>F23*G23</f>
        <v>1122.3817849799998</v>
      </c>
    </row>
    <row r="24" spans="1:8" ht="90">
      <c r="A24" s="41" t="s">
        <v>300</v>
      </c>
      <c r="B24" s="91" t="s">
        <v>57</v>
      </c>
      <c r="C24" s="96" t="s">
        <v>315</v>
      </c>
      <c r="D24" s="367" t="s">
        <v>316</v>
      </c>
      <c r="E24" s="97" t="s">
        <v>0</v>
      </c>
      <c r="F24" s="92">
        <f>'Rua Polo'!F19+'Rua Thereza '!F17+'Projetada 2'!F18+'Rua do Cemiterio'!F8</f>
        <v>0</v>
      </c>
      <c r="G24" s="50">
        <f>'Planilha Geral'!G31</f>
        <v>220.71</v>
      </c>
      <c r="H24" s="107">
        <f>F24*G24</f>
        <v>0</v>
      </c>
    </row>
    <row r="25" spans="1:8" ht="18">
      <c r="A25" s="388" t="s">
        <v>8</v>
      </c>
      <c r="B25" s="389"/>
      <c r="C25" s="389"/>
      <c r="D25" s="389"/>
      <c r="E25" s="389"/>
      <c r="F25" s="389"/>
      <c r="G25" s="283"/>
      <c r="H25" s="108">
        <f>SUM(H23:H24)</f>
        <v>1122.3817849799998</v>
      </c>
    </row>
    <row r="26" spans="1:8" s="90" customFormat="1" ht="18">
      <c r="A26" s="87"/>
      <c r="B26" s="88"/>
      <c r="C26" s="88"/>
      <c r="D26" s="88"/>
      <c r="E26" s="88"/>
      <c r="F26" s="88"/>
      <c r="G26" s="88"/>
      <c r="H26" s="112"/>
    </row>
    <row r="27" spans="1:8" s="9" customFormat="1" ht="18">
      <c r="A27" s="126" t="s">
        <v>63</v>
      </c>
      <c r="B27" s="127"/>
      <c r="C27" s="128"/>
      <c r="D27" s="28" t="s">
        <v>56</v>
      </c>
      <c r="E27" s="129"/>
      <c r="F27" s="130"/>
      <c r="G27" s="131"/>
      <c r="H27" s="132"/>
    </row>
    <row r="28" spans="1:8" ht="54">
      <c r="A28" s="41" t="s">
        <v>64</v>
      </c>
      <c r="B28" s="38" t="s">
        <v>259</v>
      </c>
      <c r="C28" s="39"/>
      <c r="D28" s="142" t="s">
        <v>258</v>
      </c>
      <c r="E28" s="25" t="s">
        <v>0</v>
      </c>
      <c r="F28" s="92">
        <v>5.78</v>
      </c>
      <c r="G28" s="50">
        <f>'Planilha Geral'!G39</f>
        <v>3550.4014481369995</v>
      </c>
      <c r="H28" s="107">
        <f>F28*G28</f>
        <v>20521.320370231857</v>
      </c>
    </row>
    <row r="29" spans="1:8" ht="18">
      <c r="A29" s="388" t="s">
        <v>8</v>
      </c>
      <c r="B29" s="389"/>
      <c r="C29" s="389"/>
      <c r="D29" s="389"/>
      <c r="E29" s="389"/>
      <c r="F29" s="389"/>
      <c r="G29" s="283"/>
      <c r="H29" s="108">
        <f>SUM(H28:H28)</f>
        <v>20521.320370231857</v>
      </c>
    </row>
    <row r="30" spans="1:8" s="10" customFormat="1" ht="18">
      <c r="A30" s="390" t="s">
        <v>33</v>
      </c>
      <c r="B30" s="391"/>
      <c r="C30" s="391"/>
      <c r="D30" s="391"/>
      <c r="E30" s="391"/>
      <c r="F30" s="391"/>
      <c r="G30" s="282"/>
      <c r="H30" s="109">
        <f>H29+H25</f>
        <v>21643.702155211857</v>
      </c>
    </row>
    <row r="31" spans="1:8" s="10" customFormat="1" ht="18">
      <c r="A31" s="81"/>
      <c r="B31" s="74"/>
      <c r="C31" s="75"/>
      <c r="D31" s="74"/>
      <c r="E31" s="74"/>
      <c r="F31" s="76"/>
      <c r="G31" s="76"/>
      <c r="H31" s="113"/>
    </row>
    <row r="32" spans="1:8" s="9" customFormat="1" ht="18">
      <c r="A32" s="82">
        <v>4</v>
      </c>
      <c r="B32" s="29"/>
      <c r="C32" s="30"/>
      <c r="D32" s="77" t="s">
        <v>9</v>
      </c>
      <c r="E32" s="31"/>
      <c r="F32" s="48"/>
      <c r="G32" s="49"/>
      <c r="H32" s="60"/>
    </row>
    <row r="33" spans="1:8" s="4" customFormat="1" ht="54">
      <c r="A33" s="41" t="s">
        <v>24</v>
      </c>
      <c r="B33" s="371" t="s">
        <v>57</v>
      </c>
      <c r="C33" s="372" t="s">
        <v>313</v>
      </c>
      <c r="D33" s="373" t="s">
        <v>314</v>
      </c>
      <c r="E33" s="97" t="s">
        <v>5</v>
      </c>
      <c r="F33" s="92">
        <v>95.83</v>
      </c>
      <c r="G33" s="50">
        <f>'Planilha Geral'!G44</f>
        <v>54.080504999999995</v>
      </c>
      <c r="H33" s="107">
        <f>F33*G33</f>
        <v>5182.5347941499995</v>
      </c>
    </row>
    <row r="34" spans="1:8" s="4" customFormat="1" ht="72">
      <c r="A34" s="41" t="s">
        <v>41</v>
      </c>
      <c r="B34" s="42" t="s">
        <v>57</v>
      </c>
      <c r="C34" s="43" t="s">
        <v>59</v>
      </c>
      <c r="D34" s="27" t="s">
        <v>60</v>
      </c>
      <c r="E34" s="25" t="s">
        <v>0</v>
      </c>
      <c r="F34" s="50">
        <v>13.16</v>
      </c>
      <c r="G34" s="50">
        <f>'Planilha Geral'!G45</f>
        <v>24.30729</v>
      </c>
      <c r="H34" s="107">
        <f>F34*G34</f>
        <v>319.8839364</v>
      </c>
    </row>
    <row r="35" spans="1:8" s="4" customFormat="1" ht="18">
      <c r="A35" s="388" t="s">
        <v>8</v>
      </c>
      <c r="B35" s="389"/>
      <c r="C35" s="389"/>
      <c r="D35" s="389"/>
      <c r="E35" s="389"/>
      <c r="F35" s="389"/>
      <c r="G35" s="283"/>
      <c r="H35" s="108">
        <f>SUM(H33:H34)</f>
        <v>5502.418730549999</v>
      </c>
    </row>
    <row r="36" spans="1:8" ht="18">
      <c r="A36" s="390" t="s">
        <v>23</v>
      </c>
      <c r="B36" s="391"/>
      <c r="C36" s="391"/>
      <c r="D36" s="391"/>
      <c r="E36" s="391"/>
      <c r="F36" s="391"/>
      <c r="G36" s="282"/>
      <c r="H36" s="109">
        <f>H35</f>
        <v>5502.418730549999</v>
      </c>
    </row>
    <row r="37" spans="1:8" s="90" customFormat="1" ht="18">
      <c r="A37" s="87"/>
      <c r="B37" s="88"/>
      <c r="C37" s="88"/>
      <c r="D37" s="88"/>
      <c r="E37" s="88"/>
      <c r="F37" s="88"/>
      <c r="G37" s="88"/>
      <c r="H37" s="112"/>
    </row>
    <row r="38" spans="1:8" ht="18.75" thickBot="1">
      <c r="A38" s="392" t="s">
        <v>10</v>
      </c>
      <c r="B38" s="393"/>
      <c r="C38" s="393"/>
      <c r="D38" s="393"/>
      <c r="E38" s="393"/>
      <c r="F38" s="393"/>
      <c r="G38" s="284"/>
      <c r="H38" s="225">
        <f>H36+H30+H19+H11</f>
        <v>27146.120885761855</v>
      </c>
    </row>
    <row r="39" spans="1:8" ht="18" customHeight="1">
      <c r="A39" s="379"/>
      <c r="B39" s="380"/>
      <c r="C39" s="380"/>
      <c r="D39" s="380"/>
      <c r="E39" s="380"/>
      <c r="F39" s="380"/>
      <c r="G39" s="380"/>
      <c r="H39" s="381"/>
    </row>
    <row r="40" spans="1:8" ht="18" customHeight="1">
      <c r="A40" s="382" t="s">
        <v>48</v>
      </c>
      <c r="B40" s="383"/>
      <c r="C40" s="383"/>
      <c r="D40" s="383"/>
      <c r="E40" s="383"/>
      <c r="F40" s="383"/>
      <c r="G40" s="383"/>
      <c r="H40" s="384"/>
    </row>
    <row r="41" spans="1:8" ht="15.75" customHeight="1">
      <c r="A41" s="385" t="s">
        <v>49</v>
      </c>
      <c r="B41" s="386"/>
      <c r="C41" s="386"/>
      <c r="D41" s="386"/>
      <c r="E41" s="386"/>
      <c r="F41" s="386"/>
      <c r="G41" s="386"/>
      <c r="H41" s="387"/>
    </row>
    <row r="42" spans="1:8" ht="18" customHeight="1">
      <c r="A42" s="385" t="s">
        <v>50</v>
      </c>
      <c r="B42" s="386"/>
      <c r="C42" s="386"/>
      <c r="D42" s="386"/>
      <c r="E42" s="386"/>
      <c r="F42" s="386"/>
      <c r="G42" s="386"/>
      <c r="H42" s="387"/>
    </row>
    <row r="43" spans="1:8" ht="18" customHeight="1" thickBot="1">
      <c r="A43" s="85"/>
      <c r="B43" s="86"/>
      <c r="C43" s="86"/>
      <c r="D43" s="86"/>
      <c r="E43" s="86"/>
      <c r="F43" s="86"/>
      <c r="G43" s="86"/>
      <c r="H43" s="115"/>
    </row>
    <row r="44" spans="1:8" ht="18">
      <c r="A44" s="36"/>
      <c r="B44" s="36"/>
      <c r="C44" s="34"/>
      <c r="D44" s="45"/>
      <c r="E44" s="35"/>
      <c r="F44" s="51"/>
      <c r="G44" s="52"/>
      <c r="H44" s="53"/>
    </row>
    <row r="45" spans="1:8" ht="15">
      <c r="A45" s="14"/>
      <c r="B45" s="20"/>
      <c r="C45" s="23"/>
      <c r="D45" s="46"/>
      <c r="E45" s="8"/>
      <c r="F45" s="54"/>
      <c r="G45" s="55"/>
      <c r="H45" s="56"/>
    </row>
  </sheetData>
  <sheetProtection/>
  <mergeCells count="23">
    <mergeCell ref="A1:H2"/>
    <mergeCell ref="A3:H3"/>
    <mergeCell ref="A4:D5"/>
    <mergeCell ref="E4:H4"/>
    <mergeCell ref="E5:H5"/>
    <mergeCell ref="A6:D6"/>
    <mergeCell ref="E6:H6"/>
    <mergeCell ref="A7:D7"/>
    <mergeCell ref="E7:H8"/>
    <mergeCell ref="A8:C8"/>
    <mergeCell ref="A11:F11"/>
    <mergeCell ref="A18:F18"/>
    <mergeCell ref="A19:F19"/>
    <mergeCell ref="A38:F38"/>
    <mergeCell ref="A39:H39"/>
    <mergeCell ref="A40:H40"/>
    <mergeCell ref="A41:H41"/>
    <mergeCell ref="A42:H42"/>
    <mergeCell ref="A25:F25"/>
    <mergeCell ref="A29:F29"/>
    <mergeCell ref="A30:F30"/>
    <mergeCell ref="A35:F35"/>
    <mergeCell ref="A36:F36"/>
  </mergeCells>
  <printOptions/>
  <pageMargins left="0.511811024" right="0.511811024" top="0.787401575" bottom="0.787401575" header="0.31496062" footer="0.31496062"/>
  <pageSetup horizontalDpi="600" verticalDpi="600" orientation="portrait" paperSize="9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PageLayoutView="0" workbookViewId="0" topLeftCell="A10">
      <selection activeCell="D21" sqref="D21"/>
    </sheetView>
  </sheetViews>
  <sheetFormatPr defaultColWidth="9.140625" defaultRowHeight="15"/>
  <cols>
    <col min="1" max="1" width="10.140625" style="2" customWidth="1"/>
    <col min="2" max="2" width="13.7109375" style="2" customWidth="1"/>
    <col min="3" max="3" width="17.2812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271" customWidth="1"/>
    <col min="8" max="8" width="18.140625" style="59" customWidth="1"/>
    <col min="9" max="9" width="26.7109375" style="17" customWidth="1"/>
    <col min="10" max="10" width="9.140625" style="5" customWidth="1"/>
    <col min="11" max="11" width="16.00390625" style="5" customWidth="1"/>
    <col min="12" max="12" width="9.140625" style="5" customWidth="1"/>
    <col min="13" max="13" width="9.57421875" style="5" bestFit="1" customWidth="1"/>
    <col min="14" max="16384" width="9.140625" style="5" customWidth="1"/>
  </cols>
  <sheetData>
    <row r="1" spans="1:8" ht="36" customHeight="1">
      <c r="A1" s="405" t="s">
        <v>34</v>
      </c>
      <c r="B1" s="406"/>
      <c r="C1" s="406"/>
      <c r="D1" s="406"/>
      <c r="E1" s="406"/>
      <c r="F1" s="406"/>
      <c r="G1" s="406"/>
      <c r="H1" s="407"/>
    </row>
    <row r="2" spans="1:8" ht="53.25" customHeight="1" thickBot="1">
      <c r="A2" s="408"/>
      <c r="B2" s="409"/>
      <c r="C2" s="409"/>
      <c r="D2" s="409"/>
      <c r="E2" s="409"/>
      <c r="F2" s="409"/>
      <c r="G2" s="409"/>
      <c r="H2" s="410"/>
    </row>
    <row r="3" spans="1:8" ht="21" customHeight="1">
      <c r="A3" s="411" t="s">
        <v>174</v>
      </c>
      <c r="B3" s="412"/>
      <c r="C3" s="412"/>
      <c r="D3" s="412"/>
      <c r="E3" s="412"/>
      <c r="F3" s="412"/>
      <c r="G3" s="412"/>
      <c r="H3" s="413"/>
    </row>
    <row r="4" spans="1:9" ht="18">
      <c r="A4" s="414" t="s">
        <v>168</v>
      </c>
      <c r="B4" s="415"/>
      <c r="C4" s="415"/>
      <c r="D4" s="415"/>
      <c r="E4" s="499" t="s">
        <v>75</v>
      </c>
      <c r="F4" s="499"/>
      <c r="G4" s="499"/>
      <c r="H4" s="500"/>
      <c r="I4"/>
    </row>
    <row r="5" spans="1:8" ht="18">
      <c r="A5" s="414"/>
      <c r="B5" s="415"/>
      <c r="C5" s="415"/>
      <c r="D5" s="415"/>
      <c r="E5" s="499" t="s">
        <v>27</v>
      </c>
      <c r="F5" s="499"/>
      <c r="G5" s="499"/>
      <c r="H5" s="500"/>
    </row>
    <row r="6" spans="1:10" ht="58.5" customHeight="1">
      <c r="A6" s="501" t="s">
        <v>28</v>
      </c>
      <c r="B6" s="502"/>
      <c r="C6" s="502"/>
      <c r="D6" s="502"/>
      <c r="E6" s="527" t="s">
        <v>74</v>
      </c>
      <c r="F6" s="528"/>
      <c r="G6" s="528"/>
      <c r="H6" s="529"/>
      <c r="J6"/>
    </row>
    <row r="7" spans="1:8" ht="51.75" customHeight="1">
      <c r="A7" s="508" t="s">
        <v>51</v>
      </c>
      <c r="B7" s="509"/>
      <c r="C7" s="509"/>
      <c r="D7" s="509"/>
      <c r="E7" s="396" t="s">
        <v>81</v>
      </c>
      <c r="F7" s="397"/>
      <c r="G7" s="397"/>
      <c r="H7" s="398"/>
    </row>
    <row r="8" spans="1:14" s="6" customFormat="1" ht="40.5" customHeight="1">
      <c r="A8" s="525" t="s">
        <v>183</v>
      </c>
      <c r="B8" s="526"/>
      <c r="C8" s="526"/>
      <c r="D8" s="220" t="s">
        <v>76</v>
      </c>
      <c r="E8" s="522"/>
      <c r="F8" s="523"/>
      <c r="G8" s="523"/>
      <c r="H8" s="524"/>
      <c r="I8" s="18"/>
      <c r="K8" s="5"/>
      <c r="L8" s="5"/>
      <c r="M8" s="5"/>
      <c r="N8" s="5"/>
    </row>
    <row r="9" spans="1:14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58" t="s">
        <v>186</v>
      </c>
      <c r="H9" s="159" t="s">
        <v>4</v>
      </c>
      <c r="I9" s="19"/>
      <c r="J9" s="285">
        <f>'Planilha Geral'!H4</f>
        <v>1.2861</v>
      </c>
      <c r="K9" s="1"/>
      <c r="L9" s="1"/>
      <c r="M9" s="1"/>
      <c r="N9" s="1"/>
    </row>
    <row r="10" spans="1:14" s="7" customFormat="1" ht="18">
      <c r="A10" s="40">
        <v>1</v>
      </c>
      <c r="B10" s="121"/>
      <c r="C10" s="122"/>
      <c r="D10" s="77" t="s">
        <v>18</v>
      </c>
      <c r="E10" s="121"/>
      <c r="F10" s="123"/>
      <c r="G10" s="123"/>
      <c r="H10" s="125"/>
      <c r="I10" s="19"/>
      <c r="K10" s="1"/>
      <c r="L10" s="1"/>
      <c r="M10" s="1"/>
      <c r="N10" s="1"/>
    </row>
    <row r="11" spans="1:11" s="10" customFormat="1" ht="18.75" thickBot="1">
      <c r="A11" s="390" t="s">
        <v>175</v>
      </c>
      <c r="B11" s="391"/>
      <c r="C11" s="391"/>
      <c r="D11" s="391"/>
      <c r="E11" s="391"/>
      <c r="F11" s="391"/>
      <c r="G11" s="282"/>
      <c r="H11" s="109"/>
      <c r="I11" s="67" t="e">
        <f>I3+#REF!+#REF!+#REF!+#REF!+#REF!+I8</f>
        <v>#REF!</v>
      </c>
      <c r="K11" s="11"/>
    </row>
    <row r="12" spans="1:11" s="10" customFormat="1" ht="18">
      <c r="A12" s="133"/>
      <c r="B12" s="44"/>
      <c r="C12" s="44"/>
      <c r="D12" s="44"/>
      <c r="E12" s="44"/>
      <c r="F12" s="44"/>
      <c r="G12" s="44"/>
      <c r="H12" s="106"/>
      <c r="I12" s="21"/>
      <c r="K12" s="11"/>
    </row>
    <row r="13" spans="1:13" s="4" customFormat="1" ht="18">
      <c r="A13" s="40">
        <v>2</v>
      </c>
      <c r="B13" s="121"/>
      <c r="C13" s="122"/>
      <c r="D13" s="77" t="s">
        <v>11</v>
      </c>
      <c r="E13" s="121"/>
      <c r="F13" s="123"/>
      <c r="G13" s="123"/>
      <c r="H13" s="125"/>
      <c r="I13" s="19"/>
      <c r="K13" s="22"/>
      <c r="M13" s="16">
        <f>H13-I13</f>
        <v>0</v>
      </c>
    </row>
    <row r="14" spans="1:9" s="9" customFormat="1" ht="18">
      <c r="A14" s="126" t="s">
        <v>12</v>
      </c>
      <c r="B14" s="127"/>
      <c r="C14" s="128"/>
      <c r="D14" s="28" t="s">
        <v>11</v>
      </c>
      <c r="E14" s="129"/>
      <c r="F14" s="130"/>
      <c r="G14" s="255"/>
      <c r="H14" s="132"/>
      <c r="I14" s="19"/>
    </row>
    <row r="15" spans="1:11" ht="90">
      <c r="A15" s="41" t="s">
        <v>161</v>
      </c>
      <c r="B15" s="91" t="s">
        <v>57</v>
      </c>
      <c r="C15" s="96" t="s">
        <v>315</v>
      </c>
      <c r="D15" s="367" t="s">
        <v>316</v>
      </c>
      <c r="E15" s="97" t="s">
        <v>0</v>
      </c>
      <c r="F15" s="50">
        <v>180.8</v>
      </c>
      <c r="G15" s="223">
        <f>'Planilha Geral'!G31</f>
        <v>220.71</v>
      </c>
      <c r="H15" s="107">
        <f>F15*G15</f>
        <v>39904.368</v>
      </c>
      <c r="I15" s="19"/>
      <c r="K15" s="15"/>
    </row>
    <row r="16" spans="1:11" ht="108">
      <c r="A16" s="41" t="s">
        <v>162</v>
      </c>
      <c r="B16" s="91" t="s">
        <v>310</v>
      </c>
      <c r="C16" s="96" t="s">
        <v>311</v>
      </c>
      <c r="D16" s="367" t="s">
        <v>312</v>
      </c>
      <c r="E16" s="97" t="s">
        <v>32</v>
      </c>
      <c r="F16" s="50">
        <v>3</v>
      </c>
      <c r="G16" s="50">
        <f>'Planilha Geral'!G33</f>
        <v>1549.9819980000002</v>
      </c>
      <c r="H16" s="107">
        <f>F16*G16</f>
        <v>4649.945994000001</v>
      </c>
      <c r="I16" s="19"/>
      <c r="K16" s="15"/>
    </row>
    <row r="17" spans="1:11" ht="36">
      <c r="A17" s="41" t="s">
        <v>163</v>
      </c>
      <c r="B17" s="38" t="s">
        <v>19</v>
      </c>
      <c r="C17" s="39" t="s">
        <v>130</v>
      </c>
      <c r="D17" s="32" t="s">
        <v>131</v>
      </c>
      <c r="E17" s="25" t="s">
        <v>32</v>
      </c>
      <c r="F17" s="50">
        <v>4</v>
      </c>
      <c r="G17" s="50">
        <f>'Planilha Geral'!G35</f>
        <v>3586.01731085</v>
      </c>
      <c r="H17" s="107">
        <f>F17*G17</f>
        <v>14344.0692434</v>
      </c>
      <c r="I17" s="19"/>
      <c r="K17" s="15"/>
    </row>
    <row r="18" spans="1:9" ht="18">
      <c r="A18" s="388" t="s">
        <v>8</v>
      </c>
      <c r="B18" s="389"/>
      <c r="C18" s="389"/>
      <c r="D18" s="389"/>
      <c r="E18" s="389"/>
      <c r="F18" s="389"/>
      <c r="G18" s="283"/>
      <c r="H18" s="108">
        <f>SUM(H15:H17)</f>
        <v>58898.383237400005</v>
      </c>
      <c r="I18" s="66" t="e">
        <f>SUM(#REF!)</f>
        <v>#REF!</v>
      </c>
    </row>
    <row r="19" spans="1:9" s="90" customFormat="1" ht="18">
      <c r="A19" s="87"/>
      <c r="B19" s="88"/>
      <c r="C19" s="88"/>
      <c r="D19" s="88"/>
      <c r="E19" s="88"/>
      <c r="F19" s="88"/>
      <c r="G19" s="88"/>
      <c r="H19" s="112"/>
      <c r="I19" s="89"/>
    </row>
    <row r="20" spans="1:9" s="9" customFormat="1" ht="18">
      <c r="A20" s="126" t="s">
        <v>13</v>
      </c>
      <c r="B20" s="127"/>
      <c r="C20" s="128"/>
      <c r="D20" s="28" t="s">
        <v>56</v>
      </c>
      <c r="E20" s="129"/>
      <c r="F20" s="130"/>
      <c r="G20" s="255"/>
      <c r="H20" s="132"/>
      <c r="I20" s="19"/>
    </row>
    <row r="21" spans="1:9" s="9" customFormat="1" ht="40.5" customHeight="1">
      <c r="A21" s="41" t="s">
        <v>164</v>
      </c>
      <c r="B21" s="38" t="s">
        <v>259</v>
      </c>
      <c r="C21" s="39"/>
      <c r="D21" s="142" t="s">
        <v>258</v>
      </c>
      <c r="E21" s="25" t="s">
        <v>0</v>
      </c>
      <c r="F21" s="92">
        <f>'[2]MEMÓRIA'!E21</f>
        <v>8</v>
      </c>
      <c r="G21" s="50">
        <f>'Planilha Geral'!G39</f>
        <v>3550.4014481369995</v>
      </c>
      <c r="H21" s="107">
        <f>F21*G21</f>
        <v>28403.211585095996</v>
      </c>
      <c r="I21" s="19"/>
    </row>
    <row r="22" spans="1:9" ht="18">
      <c r="A22" s="388" t="s">
        <v>8</v>
      </c>
      <c r="B22" s="389"/>
      <c r="C22" s="389"/>
      <c r="D22" s="389"/>
      <c r="E22" s="389"/>
      <c r="F22" s="389"/>
      <c r="G22" s="283"/>
      <c r="H22" s="108">
        <f>SUM(H21:H21)</f>
        <v>28403.211585095996</v>
      </c>
      <c r="I22" s="66" t="e">
        <f>SUM(#REF!)</f>
        <v>#REF!</v>
      </c>
    </row>
    <row r="23" spans="1:11" s="10" customFormat="1" ht="18.75" thickBot="1">
      <c r="A23" s="390" t="s">
        <v>176</v>
      </c>
      <c r="B23" s="391"/>
      <c r="C23" s="391"/>
      <c r="D23" s="391"/>
      <c r="E23" s="391"/>
      <c r="F23" s="391"/>
      <c r="G23" s="282"/>
      <c r="H23" s="109">
        <f>H22+H18</f>
        <v>87301.594822496</v>
      </c>
      <c r="I23" s="67" t="e">
        <f>#REF!+#REF!+#REF!+#REF!+#REF!+#REF!+I18</f>
        <v>#REF!</v>
      </c>
      <c r="K23" s="11"/>
    </row>
    <row r="24" spans="1:11" ht="18">
      <c r="A24" s="154"/>
      <c r="B24" s="155"/>
      <c r="C24" s="155"/>
      <c r="D24" s="155"/>
      <c r="E24" s="155"/>
      <c r="F24" s="155"/>
      <c r="G24" s="288"/>
      <c r="H24" s="156"/>
      <c r="I24" s="221"/>
      <c r="K24" s="12"/>
    </row>
    <row r="25" spans="1:11" ht="18">
      <c r="A25" s="82">
        <v>3</v>
      </c>
      <c r="B25" s="29"/>
      <c r="C25" s="30"/>
      <c r="D25" s="77" t="s">
        <v>9</v>
      </c>
      <c r="E25" s="31"/>
      <c r="F25" s="48"/>
      <c r="G25" s="263"/>
      <c r="H25" s="60"/>
      <c r="I25" s="221"/>
      <c r="K25" s="12"/>
    </row>
    <row r="26" spans="1:11" ht="18">
      <c r="A26" s="226" t="s">
        <v>17</v>
      </c>
      <c r="B26" s="38" t="s">
        <v>19</v>
      </c>
      <c r="C26" s="43" t="s">
        <v>165</v>
      </c>
      <c r="D26" s="222" t="s">
        <v>166</v>
      </c>
      <c r="E26" s="25" t="s">
        <v>5</v>
      </c>
      <c r="F26" s="224">
        <f>'[2]MEMÓRIA'!E26</f>
        <v>157.60000000000002</v>
      </c>
      <c r="G26" s="224">
        <f>'Planilha Geral'!G48</f>
        <v>2.18</v>
      </c>
      <c r="H26" s="107">
        <f>F26*G26</f>
        <v>343.5680000000001</v>
      </c>
      <c r="I26" s="221"/>
      <c r="K26" s="12"/>
    </row>
    <row r="27" spans="1:11" ht="36">
      <c r="A27" s="226" t="s">
        <v>63</v>
      </c>
      <c r="B27" s="42" t="s">
        <v>19</v>
      </c>
      <c r="C27" s="43" t="s">
        <v>308</v>
      </c>
      <c r="D27" s="137" t="s">
        <v>309</v>
      </c>
      <c r="E27" s="25" t="s">
        <v>5</v>
      </c>
      <c r="F27" s="224">
        <f>'[2]MEMÓRIA'!E27</f>
        <v>1348</v>
      </c>
      <c r="G27" s="50">
        <f>'Planilha Geral'!G49</f>
        <v>9.4819465</v>
      </c>
      <c r="H27" s="107">
        <f>F27*G27</f>
        <v>12781.663881999999</v>
      </c>
      <c r="I27" s="221"/>
      <c r="K27" s="12"/>
    </row>
    <row r="28" spans="1:11" ht="90">
      <c r="A28" s="226" t="s">
        <v>65</v>
      </c>
      <c r="B28" s="42" t="s">
        <v>57</v>
      </c>
      <c r="C28" s="43" t="s">
        <v>72</v>
      </c>
      <c r="D28" s="27" t="s">
        <v>73</v>
      </c>
      <c r="E28" s="25" t="s">
        <v>5</v>
      </c>
      <c r="F28" s="50">
        <v>277.12</v>
      </c>
      <c r="G28" s="50">
        <f>'Planilha Geral'!G46</f>
        <v>43.122933</v>
      </c>
      <c r="H28" s="107">
        <f>F28*G28</f>
        <v>11950.227192960001</v>
      </c>
      <c r="I28" s="221"/>
      <c r="K28" s="12"/>
    </row>
    <row r="29" spans="1:11" ht="72">
      <c r="A29" s="226" t="s">
        <v>101</v>
      </c>
      <c r="B29" s="42" t="s">
        <v>57</v>
      </c>
      <c r="C29" s="43" t="s">
        <v>59</v>
      </c>
      <c r="D29" s="27" t="s">
        <v>171</v>
      </c>
      <c r="E29" s="25" t="s">
        <v>0</v>
      </c>
      <c r="F29" s="50">
        <f>'[2]MEMÓRIA'!E29</f>
        <v>180</v>
      </c>
      <c r="G29" s="50">
        <f>'Planilha Geral'!G45</f>
        <v>24.30729</v>
      </c>
      <c r="H29" s="107">
        <f>F29*G29</f>
        <v>4375.312199999999</v>
      </c>
      <c r="I29" s="221"/>
      <c r="K29" s="12"/>
    </row>
    <row r="30" spans="1:11" ht="18">
      <c r="A30" s="388" t="s">
        <v>8</v>
      </c>
      <c r="B30" s="389"/>
      <c r="C30" s="389"/>
      <c r="D30" s="389"/>
      <c r="E30" s="389"/>
      <c r="F30" s="389"/>
      <c r="G30" s="283"/>
      <c r="H30" s="108">
        <f>SUM(H26:H29)</f>
        <v>29450.77127496</v>
      </c>
      <c r="I30" s="221"/>
      <c r="K30" s="12"/>
    </row>
    <row r="31" spans="1:11" ht="18">
      <c r="A31" s="390" t="s">
        <v>170</v>
      </c>
      <c r="B31" s="391"/>
      <c r="C31" s="391"/>
      <c r="D31" s="391"/>
      <c r="E31" s="391"/>
      <c r="F31" s="391"/>
      <c r="G31" s="282"/>
      <c r="H31" s="109">
        <f>H30</f>
        <v>29450.77127496</v>
      </c>
      <c r="I31" s="221"/>
      <c r="K31" s="12"/>
    </row>
    <row r="32" spans="1:11" ht="18.75" thickBot="1">
      <c r="A32" s="392" t="s">
        <v>10</v>
      </c>
      <c r="B32" s="393"/>
      <c r="C32" s="393"/>
      <c r="D32" s="393"/>
      <c r="E32" s="393"/>
      <c r="F32" s="393"/>
      <c r="G32" s="248"/>
      <c r="H32" s="225">
        <f>H31+H23</f>
        <v>116752.366097456</v>
      </c>
      <c r="I32" s="105" t="e">
        <f>#REF!+I23+#REF!+#REF!</f>
        <v>#REF!</v>
      </c>
      <c r="K32" s="13"/>
    </row>
    <row r="33" spans="1:9" ht="18" customHeight="1">
      <c r="A33" s="289"/>
      <c r="B33" s="286"/>
      <c r="C33" s="286"/>
      <c r="D33" s="286"/>
      <c r="E33" s="286"/>
      <c r="F33" s="286"/>
      <c r="G33" s="286"/>
      <c r="H33" s="290"/>
      <c r="I33" s="19"/>
    </row>
    <row r="34" spans="1:8" ht="18" customHeight="1">
      <c r="A34" s="382"/>
      <c r="B34" s="383"/>
      <c r="C34" s="383"/>
      <c r="D34" s="383"/>
      <c r="E34" s="383"/>
      <c r="F34" s="383"/>
      <c r="G34" s="383"/>
      <c r="H34" s="384"/>
    </row>
    <row r="35" spans="1:8" ht="18" customHeight="1">
      <c r="A35" s="382" t="s">
        <v>48</v>
      </c>
      <c r="B35" s="383"/>
      <c r="C35" s="383"/>
      <c r="D35" s="383"/>
      <c r="E35" s="383"/>
      <c r="F35" s="383"/>
      <c r="G35" s="383"/>
      <c r="H35" s="384"/>
    </row>
    <row r="36" spans="1:8" ht="15.75" customHeight="1">
      <c r="A36" s="385" t="s">
        <v>49</v>
      </c>
      <c r="B36" s="386"/>
      <c r="C36" s="386"/>
      <c r="D36" s="386"/>
      <c r="E36" s="386"/>
      <c r="F36" s="386"/>
      <c r="G36" s="386"/>
      <c r="H36" s="387"/>
    </row>
    <row r="37" spans="1:8" ht="18" customHeight="1">
      <c r="A37" s="385" t="s">
        <v>50</v>
      </c>
      <c r="B37" s="386"/>
      <c r="C37" s="386"/>
      <c r="D37" s="386"/>
      <c r="E37" s="386"/>
      <c r="F37" s="386"/>
      <c r="G37" s="386"/>
      <c r="H37" s="387"/>
    </row>
    <row r="38" spans="1:8" ht="18" customHeight="1" thickBot="1">
      <c r="A38" s="85"/>
      <c r="B38" s="86"/>
      <c r="C38" s="86"/>
      <c r="D38" s="86"/>
      <c r="E38" s="86"/>
      <c r="F38" s="86"/>
      <c r="G38" s="270"/>
      <c r="H38" s="115"/>
    </row>
    <row r="39" spans="1:8" ht="18">
      <c r="A39" s="36"/>
      <c r="B39" s="36"/>
      <c r="C39" s="34"/>
      <c r="D39" s="45"/>
      <c r="E39" s="35"/>
      <c r="F39" s="51"/>
      <c r="G39" s="273"/>
      <c r="H39" s="53"/>
    </row>
    <row r="40" spans="1:8" ht="15">
      <c r="A40" s="14"/>
      <c r="B40" s="20"/>
      <c r="C40" s="23"/>
      <c r="D40" s="46"/>
      <c r="E40" s="8"/>
      <c r="F40" s="54"/>
      <c r="G40" s="276"/>
      <c r="H40" s="56"/>
    </row>
  </sheetData>
  <sheetProtection/>
  <mergeCells count="21">
    <mergeCell ref="A1:H2"/>
    <mergeCell ref="A3:H3"/>
    <mergeCell ref="A4:D5"/>
    <mergeCell ref="E4:H4"/>
    <mergeCell ref="E5:H5"/>
    <mergeCell ref="A6:D6"/>
    <mergeCell ref="E6:H6"/>
    <mergeCell ref="A7:D7"/>
    <mergeCell ref="E7:H8"/>
    <mergeCell ref="A8:C8"/>
    <mergeCell ref="A11:F11"/>
    <mergeCell ref="A18:F18"/>
    <mergeCell ref="A22:F22"/>
    <mergeCell ref="A34:H34"/>
    <mergeCell ref="A35:H35"/>
    <mergeCell ref="A36:H36"/>
    <mergeCell ref="A30:F30"/>
    <mergeCell ref="A37:H37"/>
    <mergeCell ref="A23:F23"/>
    <mergeCell ref="A31:F31"/>
    <mergeCell ref="A32:F32"/>
  </mergeCells>
  <printOptions/>
  <pageMargins left="0.511811024" right="0.511811024" top="0.787401575" bottom="0.787401575" header="0.31496062" footer="0.31496062"/>
  <pageSetup horizontalDpi="300" verticalDpi="300" orientation="portrait" paperSize="9" scale="4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7">
      <selection activeCell="A1" sqref="A1:I39"/>
    </sheetView>
  </sheetViews>
  <sheetFormatPr defaultColWidth="9.140625" defaultRowHeight="15"/>
  <cols>
    <col min="1" max="1" width="18.7109375" style="0" customWidth="1"/>
  </cols>
  <sheetData>
    <row r="1" spans="1:10" ht="15">
      <c r="A1" s="530" t="s">
        <v>293</v>
      </c>
      <c r="B1" s="531"/>
      <c r="C1" s="531"/>
      <c r="D1" s="531"/>
      <c r="E1" s="531"/>
      <c r="F1" s="531"/>
      <c r="G1" s="531"/>
      <c r="H1" s="531"/>
      <c r="I1" s="532"/>
      <c r="J1" s="352"/>
    </row>
    <row r="2" spans="1:10" ht="15">
      <c r="A2" s="533"/>
      <c r="B2" s="533"/>
      <c r="C2" s="533"/>
      <c r="D2" s="533"/>
      <c r="E2" s="533"/>
      <c r="F2" s="533"/>
      <c r="G2" s="533"/>
      <c r="H2" s="533"/>
      <c r="I2" s="533"/>
      <c r="J2" s="352"/>
    </row>
    <row r="3" spans="1:10" ht="15">
      <c r="A3" s="533" t="s">
        <v>291</v>
      </c>
      <c r="B3" s="533"/>
      <c r="C3" s="533"/>
      <c r="D3" s="533"/>
      <c r="E3" s="533"/>
      <c r="F3" s="533"/>
      <c r="G3" s="533" t="s">
        <v>292</v>
      </c>
      <c r="H3" s="533"/>
      <c r="I3" s="533"/>
      <c r="J3" s="352"/>
    </row>
    <row r="4" spans="1:10" ht="15">
      <c r="A4" s="534"/>
      <c r="B4" s="534"/>
      <c r="C4" s="534"/>
      <c r="D4" s="534"/>
      <c r="E4" s="534"/>
      <c r="F4" s="534"/>
      <c r="G4" s="534"/>
      <c r="H4" s="534"/>
      <c r="I4" s="534"/>
      <c r="J4" s="352"/>
    </row>
    <row r="5" spans="1:10" ht="15">
      <c r="A5" s="533" t="s">
        <v>287</v>
      </c>
      <c r="B5" s="533"/>
      <c r="C5" s="533"/>
      <c r="D5" s="533"/>
      <c r="E5" s="533"/>
      <c r="F5" s="533"/>
      <c r="G5" s="533"/>
      <c r="H5" s="533" t="s">
        <v>307</v>
      </c>
      <c r="I5" s="533"/>
      <c r="J5" s="352"/>
    </row>
    <row r="6" spans="1:10" ht="15">
      <c r="A6" s="533" t="s">
        <v>288</v>
      </c>
      <c r="B6" s="533"/>
      <c r="C6" s="533" t="s">
        <v>290</v>
      </c>
      <c r="D6" s="533"/>
      <c r="E6" s="533" t="s">
        <v>289</v>
      </c>
      <c r="F6" s="533"/>
      <c r="G6" s="533"/>
      <c r="H6" s="533" t="s">
        <v>285</v>
      </c>
      <c r="I6" s="533"/>
      <c r="J6" s="352"/>
    </row>
    <row r="7" spans="1:10" ht="15">
      <c r="A7" s="534"/>
      <c r="B7" s="534"/>
      <c r="C7" s="534"/>
      <c r="D7" s="534"/>
      <c r="E7" s="534"/>
      <c r="F7" s="534"/>
      <c r="G7" s="534"/>
      <c r="H7" s="534"/>
      <c r="I7" s="534"/>
      <c r="J7" s="352"/>
    </row>
    <row r="8" spans="1:10" ht="23.25">
      <c r="A8" s="353" t="s">
        <v>260</v>
      </c>
      <c r="B8" s="354" t="s">
        <v>261</v>
      </c>
      <c r="C8" s="354" t="s">
        <v>262</v>
      </c>
      <c r="D8" s="355" t="s">
        <v>263</v>
      </c>
      <c r="E8" s="355" t="s">
        <v>264</v>
      </c>
      <c r="F8" s="355" t="s">
        <v>265</v>
      </c>
      <c r="G8" s="355" t="s">
        <v>266</v>
      </c>
      <c r="H8" s="355" t="s">
        <v>267</v>
      </c>
      <c r="I8" s="355" t="s">
        <v>268</v>
      </c>
      <c r="J8" s="352"/>
    </row>
    <row r="9" spans="1:10" ht="45">
      <c r="A9" s="361" t="s">
        <v>92</v>
      </c>
      <c r="B9" s="357" t="s">
        <v>269</v>
      </c>
      <c r="C9" s="357">
        <v>90777</v>
      </c>
      <c r="D9" s="362">
        <f>6*2*30</f>
        <v>360</v>
      </c>
      <c r="E9" s="358"/>
      <c r="F9" s="358"/>
      <c r="G9" s="358"/>
      <c r="H9" s="358">
        <v>65.16</v>
      </c>
      <c r="I9" s="362">
        <f>H9*D9</f>
        <v>23457.6</v>
      </c>
      <c r="J9" s="352"/>
    </row>
    <row r="10" spans="1:10" ht="33.75">
      <c r="A10" s="361" t="s">
        <v>95</v>
      </c>
      <c r="B10" s="357" t="s">
        <v>269</v>
      </c>
      <c r="C10" s="357">
        <v>90776</v>
      </c>
      <c r="D10" s="362">
        <f>6*8*30</f>
        <v>1440</v>
      </c>
      <c r="E10" s="358"/>
      <c r="F10" s="358"/>
      <c r="G10" s="358"/>
      <c r="H10" s="358">
        <v>28.31</v>
      </c>
      <c r="I10" s="362">
        <f>H10*D10</f>
        <v>40766.4</v>
      </c>
      <c r="J10" s="352"/>
    </row>
    <row r="11" spans="1:10" ht="15">
      <c r="A11" s="535" t="s">
        <v>270</v>
      </c>
      <c r="B11" s="536"/>
      <c r="C11" s="536"/>
      <c r="D11" s="536"/>
      <c r="E11" s="536"/>
      <c r="F11" s="536"/>
      <c r="G11" s="536"/>
      <c r="H11" s="537"/>
      <c r="I11" s="363">
        <f>SUM(I9:I10)</f>
        <v>64224</v>
      </c>
      <c r="J11" s="352"/>
    </row>
    <row r="12" spans="1:10" ht="15">
      <c r="A12" s="538"/>
      <c r="B12" s="538"/>
      <c r="C12" s="538"/>
      <c r="D12" s="538"/>
      <c r="E12" s="538"/>
      <c r="F12" s="538"/>
      <c r="G12" s="538"/>
      <c r="H12" s="538"/>
      <c r="I12" s="538"/>
      <c r="J12" s="352"/>
    </row>
    <row r="13" spans="1:10" ht="23.25">
      <c r="A13" s="353" t="s">
        <v>271</v>
      </c>
      <c r="B13" s="354" t="s">
        <v>261</v>
      </c>
      <c r="C13" s="354" t="s">
        <v>262</v>
      </c>
      <c r="D13" s="355" t="s">
        <v>263</v>
      </c>
      <c r="E13" s="355" t="s">
        <v>264</v>
      </c>
      <c r="F13" s="355" t="s">
        <v>265</v>
      </c>
      <c r="G13" s="355" t="s">
        <v>266</v>
      </c>
      <c r="H13" s="355" t="s">
        <v>267</v>
      </c>
      <c r="I13" s="355" t="s">
        <v>268</v>
      </c>
      <c r="J13" s="352"/>
    </row>
    <row r="14" spans="1:10" ht="15">
      <c r="A14" s="356"/>
      <c r="B14" s="357"/>
      <c r="C14" s="357"/>
      <c r="D14" s="358"/>
      <c r="E14" s="358"/>
      <c r="F14" s="358"/>
      <c r="G14" s="358"/>
      <c r="H14" s="358"/>
      <c r="I14" s="358"/>
      <c r="J14" s="352"/>
    </row>
    <row r="15" spans="1:10" ht="15">
      <c r="A15" s="535" t="s">
        <v>270</v>
      </c>
      <c r="B15" s="536"/>
      <c r="C15" s="536"/>
      <c r="D15" s="536"/>
      <c r="E15" s="536"/>
      <c r="F15" s="536"/>
      <c r="G15" s="536"/>
      <c r="H15" s="537"/>
      <c r="I15" s="359"/>
      <c r="J15" s="352"/>
    </row>
    <row r="16" spans="1:10" ht="15">
      <c r="A16" s="538"/>
      <c r="B16" s="538"/>
      <c r="C16" s="538"/>
      <c r="D16" s="538"/>
      <c r="E16" s="538"/>
      <c r="F16" s="538"/>
      <c r="G16" s="538"/>
      <c r="H16" s="538"/>
      <c r="I16" s="538"/>
      <c r="J16" s="352"/>
    </row>
    <row r="17" spans="1:10" ht="23.25">
      <c r="A17" s="353" t="s">
        <v>286</v>
      </c>
      <c r="B17" s="354" t="s">
        <v>261</v>
      </c>
      <c r="C17" s="354" t="s">
        <v>262</v>
      </c>
      <c r="D17" s="355" t="s">
        <v>263</v>
      </c>
      <c r="E17" s="355" t="s">
        <v>264</v>
      </c>
      <c r="F17" s="355" t="s">
        <v>265</v>
      </c>
      <c r="G17" s="355" t="s">
        <v>266</v>
      </c>
      <c r="H17" s="355" t="s">
        <v>267</v>
      </c>
      <c r="I17" s="355" t="s">
        <v>268</v>
      </c>
      <c r="J17" s="352"/>
    </row>
    <row r="18" spans="1:10" ht="15">
      <c r="A18" s="356"/>
      <c r="B18" s="357"/>
      <c r="C18" s="357"/>
      <c r="D18" s="358"/>
      <c r="E18" s="358"/>
      <c r="F18" s="358"/>
      <c r="G18" s="358"/>
      <c r="H18" s="358"/>
      <c r="I18" s="358"/>
      <c r="J18" s="352"/>
    </row>
    <row r="19" spans="1:10" ht="15">
      <c r="A19" s="535" t="s">
        <v>270</v>
      </c>
      <c r="B19" s="536"/>
      <c r="C19" s="536"/>
      <c r="D19" s="536"/>
      <c r="E19" s="536"/>
      <c r="F19" s="536"/>
      <c r="G19" s="536"/>
      <c r="H19" s="537"/>
      <c r="I19" s="359"/>
      <c r="J19" s="352"/>
    </row>
    <row r="20" spans="1:10" ht="15">
      <c r="A20" s="538"/>
      <c r="B20" s="538"/>
      <c r="C20" s="538"/>
      <c r="D20" s="538"/>
      <c r="E20" s="538"/>
      <c r="F20" s="538"/>
      <c r="G20" s="538"/>
      <c r="H20" s="538"/>
      <c r="I20" s="538"/>
      <c r="J20" s="352"/>
    </row>
    <row r="21" spans="1:10" ht="15">
      <c r="A21" s="539" t="s">
        <v>272</v>
      </c>
      <c r="B21" s="539"/>
      <c r="C21" s="539"/>
      <c r="D21" s="539"/>
      <c r="E21" s="539"/>
      <c r="F21" s="352"/>
      <c r="G21" s="352"/>
      <c r="H21" s="352"/>
      <c r="I21" s="352"/>
      <c r="J21" s="352"/>
    </row>
    <row r="22" spans="1:10" ht="15">
      <c r="A22" s="540" t="s">
        <v>273</v>
      </c>
      <c r="B22" s="541"/>
      <c r="C22" s="542"/>
      <c r="D22" s="355" t="s">
        <v>274</v>
      </c>
      <c r="E22" s="355" t="s">
        <v>275</v>
      </c>
      <c r="F22" s="352"/>
      <c r="G22" s="352"/>
      <c r="H22" s="352"/>
      <c r="I22" s="352"/>
      <c r="J22" s="352"/>
    </row>
    <row r="23" spans="1:10" ht="15">
      <c r="A23" s="543" t="s">
        <v>276</v>
      </c>
      <c r="B23" s="544"/>
      <c r="C23" s="545"/>
      <c r="D23" s="546"/>
      <c r="E23" s="364">
        <f>I11</f>
        <v>64224</v>
      </c>
      <c r="F23" s="352"/>
      <c r="G23" s="352"/>
      <c r="H23" s="352"/>
      <c r="I23" s="352"/>
      <c r="J23" s="352"/>
    </row>
    <row r="24" spans="1:10" ht="15">
      <c r="A24" s="543" t="s">
        <v>277</v>
      </c>
      <c r="B24" s="544"/>
      <c r="C24" s="545"/>
      <c r="D24" s="547"/>
      <c r="E24" s="364">
        <f>I15</f>
        <v>0</v>
      </c>
      <c r="F24" s="352"/>
      <c r="G24" s="352"/>
      <c r="H24" s="352"/>
      <c r="I24" s="352"/>
      <c r="J24" s="352"/>
    </row>
    <row r="25" spans="1:10" ht="15">
      <c r="A25" s="543" t="s">
        <v>278</v>
      </c>
      <c r="B25" s="544"/>
      <c r="C25" s="545"/>
      <c r="D25" s="547"/>
      <c r="E25" s="364">
        <f>I19</f>
        <v>0</v>
      </c>
      <c r="F25" s="352"/>
      <c r="G25" s="352"/>
      <c r="H25" s="352"/>
      <c r="I25" s="352"/>
      <c r="J25" s="352"/>
    </row>
    <row r="26" spans="1:10" ht="15">
      <c r="A26" s="543" t="s">
        <v>279</v>
      </c>
      <c r="B26" s="544"/>
      <c r="C26" s="545"/>
      <c r="D26" s="547"/>
      <c r="E26" s="364">
        <v>1</v>
      </c>
      <c r="F26" s="352"/>
      <c r="G26" s="352"/>
      <c r="H26" s="352"/>
      <c r="I26" s="352"/>
      <c r="J26" s="352"/>
    </row>
    <row r="27" spans="1:10" ht="15">
      <c r="A27" s="543" t="s">
        <v>280</v>
      </c>
      <c r="B27" s="544"/>
      <c r="C27" s="545"/>
      <c r="D27" s="547"/>
      <c r="E27" s="364">
        <f>E23+E25</f>
        <v>64224</v>
      </c>
      <c r="F27" s="352"/>
      <c r="G27" s="352"/>
      <c r="H27" s="352"/>
      <c r="I27" s="352"/>
      <c r="J27" s="352"/>
    </row>
    <row r="28" spans="1:10" ht="15">
      <c r="A28" s="543" t="s">
        <v>281</v>
      </c>
      <c r="B28" s="544"/>
      <c r="C28" s="545"/>
      <c r="D28" s="547"/>
      <c r="E28" s="364">
        <f>(E23/E26)+(E25/E26)</f>
        <v>64224</v>
      </c>
      <c r="F28" s="352"/>
      <c r="G28" s="352"/>
      <c r="H28" s="352"/>
      <c r="I28" s="352"/>
      <c r="J28" s="352"/>
    </row>
    <row r="29" spans="1:10" ht="15">
      <c r="A29" s="543" t="s">
        <v>282</v>
      </c>
      <c r="B29" s="544"/>
      <c r="C29" s="545"/>
      <c r="D29" s="548"/>
      <c r="E29" s="364">
        <f>E24+E28</f>
        <v>64224</v>
      </c>
      <c r="F29" s="352"/>
      <c r="G29" s="352"/>
      <c r="H29" s="352"/>
      <c r="I29" s="352"/>
      <c r="J29" s="352"/>
    </row>
    <row r="30" spans="1:10" ht="15">
      <c r="A30" s="543" t="s">
        <v>283</v>
      </c>
      <c r="B30" s="544"/>
      <c r="C30" s="545"/>
      <c r="D30" s="546"/>
      <c r="E30" s="364">
        <f>E29</f>
        <v>64224</v>
      </c>
      <c r="F30" s="352"/>
      <c r="G30" s="352"/>
      <c r="H30" s="352"/>
      <c r="I30" s="352"/>
      <c r="J30" s="352"/>
    </row>
    <row r="31" spans="1:10" ht="15">
      <c r="A31" s="549" t="s">
        <v>284</v>
      </c>
      <c r="B31" s="550"/>
      <c r="C31" s="551"/>
      <c r="D31" s="548"/>
      <c r="E31" s="363">
        <f>E30</f>
        <v>64224</v>
      </c>
      <c r="F31" s="352"/>
      <c r="G31" s="352"/>
      <c r="H31" s="352"/>
      <c r="I31" s="352"/>
      <c r="J31" s="352"/>
    </row>
    <row r="32" spans="1:10" ht="15">
      <c r="A32" s="534"/>
      <c r="B32" s="534"/>
      <c r="C32" s="534"/>
      <c r="D32" s="534"/>
      <c r="E32" s="534"/>
      <c r="F32" s="534"/>
      <c r="G32" s="534"/>
      <c r="H32" s="534"/>
      <c r="I32" s="534"/>
      <c r="J32" s="352"/>
    </row>
    <row r="33" spans="1:10" ht="15">
      <c r="A33" s="534"/>
      <c r="B33" s="534"/>
      <c r="C33" s="534"/>
      <c r="D33" s="534"/>
      <c r="E33" s="534"/>
      <c r="F33" s="534"/>
      <c r="G33" s="534"/>
      <c r="H33" s="534"/>
      <c r="I33" s="534"/>
      <c r="J33" s="352"/>
    </row>
    <row r="34" spans="1:10" ht="15">
      <c r="A34" s="352"/>
      <c r="B34" s="352"/>
      <c r="C34" s="352"/>
      <c r="D34" s="352"/>
      <c r="E34" s="352"/>
      <c r="F34" s="352"/>
      <c r="G34" s="352"/>
      <c r="H34" s="352"/>
      <c r="I34" s="352"/>
      <c r="J34" s="352"/>
    </row>
    <row r="35" spans="1:10" ht="15">
      <c r="A35" s="352"/>
      <c r="B35" s="352"/>
      <c r="C35" s="352"/>
      <c r="D35" s="352"/>
      <c r="E35" s="352"/>
      <c r="F35" s="352"/>
      <c r="G35" s="352"/>
      <c r="H35" s="352"/>
      <c r="I35" s="352"/>
      <c r="J35" s="352"/>
    </row>
    <row r="36" spans="1:10" ht="15">
      <c r="A36" s="352"/>
      <c r="B36" s="352"/>
      <c r="C36" s="352"/>
      <c r="D36" s="352"/>
      <c r="E36" s="352"/>
      <c r="F36" s="352"/>
      <c r="G36" s="352"/>
      <c r="H36" s="352"/>
      <c r="I36" s="352"/>
      <c r="J36" s="352"/>
    </row>
    <row r="37" spans="1:10" ht="15">
      <c r="A37" s="446" t="s">
        <v>48</v>
      </c>
      <c r="B37" s="446"/>
      <c r="C37" s="446"/>
      <c r="D37" s="446"/>
      <c r="E37" s="446"/>
      <c r="F37" s="446"/>
      <c r="G37" s="446"/>
      <c r="H37" s="446"/>
      <c r="I37" s="446"/>
      <c r="J37" s="376"/>
    </row>
    <row r="38" spans="1:10" ht="15">
      <c r="A38" s="446" t="s">
        <v>49</v>
      </c>
      <c r="B38" s="446"/>
      <c r="C38" s="446"/>
      <c r="D38" s="446"/>
      <c r="E38" s="446"/>
      <c r="F38" s="446"/>
      <c r="G38" s="446"/>
      <c r="H38" s="446"/>
      <c r="I38" s="446"/>
      <c r="J38" s="376"/>
    </row>
    <row r="39" spans="1:10" ht="15">
      <c r="A39" s="446" t="s">
        <v>50</v>
      </c>
      <c r="B39" s="446"/>
      <c r="C39" s="446"/>
      <c r="D39" s="446"/>
      <c r="E39" s="446"/>
      <c r="F39" s="446"/>
      <c r="G39" s="446"/>
      <c r="H39" s="446"/>
      <c r="I39" s="446"/>
      <c r="J39" s="376"/>
    </row>
  </sheetData>
  <sheetProtection/>
  <mergeCells count="36">
    <mergeCell ref="A30:C30"/>
    <mergeCell ref="D30:D31"/>
    <mergeCell ref="A31:C31"/>
    <mergeCell ref="A32:I32"/>
    <mergeCell ref="A33:I33"/>
    <mergeCell ref="A37:I37"/>
    <mergeCell ref="A23:C23"/>
    <mergeCell ref="D23:D29"/>
    <mergeCell ref="A24:C24"/>
    <mergeCell ref="A25:C25"/>
    <mergeCell ref="A26:C26"/>
    <mergeCell ref="A27:C27"/>
    <mergeCell ref="A28:C28"/>
    <mergeCell ref="A29:C29"/>
    <mergeCell ref="A15:H15"/>
    <mergeCell ref="A16:I16"/>
    <mergeCell ref="A19:H19"/>
    <mergeCell ref="A20:I20"/>
    <mergeCell ref="A21:E21"/>
    <mergeCell ref="A22:C22"/>
    <mergeCell ref="C6:D6"/>
    <mergeCell ref="E6:G6"/>
    <mergeCell ref="H6:I6"/>
    <mergeCell ref="A7:I7"/>
    <mergeCell ref="A11:H11"/>
    <mergeCell ref="A12:I12"/>
    <mergeCell ref="A38:I38"/>
    <mergeCell ref="A39:I39"/>
    <mergeCell ref="A1:I1"/>
    <mergeCell ref="A2:I2"/>
    <mergeCell ref="A3:F3"/>
    <mergeCell ref="G3:I3"/>
    <mergeCell ref="A4:I4"/>
    <mergeCell ref="A5:G5"/>
    <mergeCell ref="H5:I5"/>
    <mergeCell ref="A6:B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SheetLayoutView="80" zoomScalePageLayoutView="0" workbookViewId="0" topLeftCell="A1">
      <selection activeCell="A25" sqref="A25:O25"/>
    </sheetView>
  </sheetViews>
  <sheetFormatPr defaultColWidth="9.140625" defaultRowHeight="15"/>
  <cols>
    <col min="1" max="1" width="36.57421875" style="0" bestFit="1" customWidth="1"/>
    <col min="2" max="2" width="13.28125" style="0" bestFit="1" customWidth="1"/>
    <col min="3" max="3" width="16.140625" style="0" bestFit="1" customWidth="1"/>
    <col min="4" max="4" width="12.140625" style="0" customWidth="1"/>
    <col min="5" max="5" width="14.28125" style="0" bestFit="1" customWidth="1"/>
    <col min="6" max="6" width="10.28125" style="0" bestFit="1" customWidth="1"/>
    <col min="7" max="7" width="14.28125" style="0" bestFit="1" customWidth="1"/>
    <col min="8" max="8" width="10.28125" style="0" bestFit="1" customWidth="1"/>
    <col min="9" max="9" width="14.28125" style="0" bestFit="1" customWidth="1"/>
    <col min="10" max="10" width="10.28125" style="0" bestFit="1" customWidth="1"/>
    <col min="11" max="11" width="14.28125" style="0" bestFit="1" customWidth="1"/>
    <col min="12" max="12" width="10.28125" style="0" bestFit="1" customWidth="1"/>
    <col min="13" max="13" width="16.140625" style="0" bestFit="1" customWidth="1"/>
    <col min="14" max="14" width="10.28125" style="0" bestFit="1" customWidth="1"/>
    <col min="15" max="15" width="16.140625" style="0" bestFit="1" customWidth="1"/>
  </cols>
  <sheetData>
    <row r="1" spans="1:15" ht="15" customHeight="1">
      <c r="A1" s="425" t="s">
        <v>34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7"/>
    </row>
    <row r="2" spans="1:15" ht="15" customHeight="1">
      <c r="A2" s="428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30"/>
    </row>
    <row r="3" spans="1:15" ht="15" customHeight="1">
      <c r="A3" s="428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30"/>
    </row>
    <row r="4" spans="1:15" ht="15.75" customHeight="1">
      <c r="A4" s="428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30"/>
    </row>
    <row r="5" spans="1:15" ht="15.75" customHeight="1">
      <c r="A5" s="431" t="s">
        <v>139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3"/>
    </row>
    <row r="6" spans="1:15" ht="15.75">
      <c r="A6" s="434" t="s">
        <v>150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6"/>
    </row>
    <row r="7" spans="1:15" ht="22.5" customHeight="1">
      <c r="A7" s="213" t="s">
        <v>151</v>
      </c>
      <c r="B7" s="208" t="s">
        <v>140</v>
      </c>
      <c r="C7" s="208" t="s">
        <v>141</v>
      </c>
      <c r="D7" s="437" t="s">
        <v>180</v>
      </c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8"/>
    </row>
    <row r="8" spans="1:15" ht="15.75">
      <c r="A8" s="214"/>
      <c r="B8" s="208" t="s">
        <v>142</v>
      </c>
      <c r="C8" s="208" t="s">
        <v>143</v>
      </c>
      <c r="D8" s="445" t="s">
        <v>144</v>
      </c>
      <c r="E8" s="445"/>
      <c r="F8" s="437" t="s">
        <v>145</v>
      </c>
      <c r="G8" s="437"/>
      <c r="H8" s="437" t="s">
        <v>146</v>
      </c>
      <c r="I8" s="437"/>
      <c r="J8" s="437" t="s">
        <v>158</v>
      </c>
      <c r="K8" s="437"/>
      <c r="L8" s="437" t="s">
        <v>159</v>
      </c>
      <c r="M8" s="437"/>
      <c r="N8" s="437" t="s">
        <v>160</v>
      </c>
      <c r="O8" s="438"/>
    </row>
    <row r="9" spans="1:15" ht="15.75">
      <c r="A9" s="209"/>
      <c r="B9" s="210"/>
      <c r="C9" s="210"/>
      <c r="D9" s="211" t="s">
        <v>142</v>
      </c>
      <c r="E9" s="211" t="s">
        <v>147</v>
      </c>
      <c r="F9" s="211" t="s">
        <v>142</v>
      </c>
      <c r="G9" s="211" t="s">
        <v>147</v>
      </c>
      <c r="H9" s="211" t="s">
        <v>142</v>
      </c>
      <c r="I9" s="211" t="s">
        <v>147</v>
      </c>
      <c r="J9" s="211" t="s">
        <v>142</v>
      </c>
      <c r="K9" s="211" t="s">
        <v>147</v>
      </c>
      <c r="L9" s="211" t="s">
        <v>142</v>
      </c>
      <c r="M9" s="211" t="s">
        <v>147</v>
      </c>
      <c r="N9" s="211" t="s">
        <v>142</v>
      </c>
      <c r="O9" s="212" t="s">
        <v>147</v>
      </c>
    </row>
    <row r="10" spans="1:17" s="190" customFormat="1" ht="15.75">
      <c r="A10" s="191" t="s">
        <v>18</v>
      </c>
      <c r="B10" s="179">
        <f>C10/$C$21</f>
        <v>0.10416931061729345</v>
      </c>
      <c r="C10" s="192">
        <f>'Planilha Geral'!H16</f>
        <v>92347.16639999999</v>
      </c>
      <c r="D10" s="200">
        <v>0.283</v>
      </c>
      <c r="E10" s="201">
        <f>D10*$C$10</f>
        <v>26134.248091199996</v>
      </c>
      <c r="F10" s="200">
        <v>0.1434</v>
      </c>
      <c r="G10" s="201">
        <f>F10*$C$10</f>
        <v>13242.583661759998</v>
      </c>
      <c r="H10" s="200">
        <v>0.1434</v>
      </c>
      <c r="I10" s="201">
        <f>H10*$C$10</f>
        <v>13242.583661759998</v>
      </c>
      <c r="J10" s="200">
        <v>0.1434</v>
      </c>
      <c r="K10" s="201">
        <f>J10*$C$10</f>
        <v>13242.583661759998</v>
      </c>
      <c r="L10" s="200">
        <v>0.1434</v>
      </c>
      <c r="M10" s="201">
        <f>L10*$C$10</f>
        <v>13242.583661759998</v>
      </c>
      <c r="N10" s="200">
        <v>0.1434</v>
      </c>
      <c r="O10" s="206">
        <f>N10*$C$10</f>
        <v>13242.583661759998</v>
      </c>
      <c r="Q10" s="202">
        <f>D10+F10+H10+J10+L10+N10</f>
        <v>0.9999999999999999</v>
      </c>
    </row>
    <row r="11" spans="1:17" ht="15.75">
      <c r="A11" s="189" t="s">
        <v>179</v>
      </c>
      <c r="B11" s="179">
        <f aca="true" t="shared" si="0" ref="B11:B20">C11/$C$21</f>
        <v>0.31772242719812466</v>
      </c>
      <c r="C11" s="180">
        <f>'Rua Polo'!H48</f>
        <v>281664.2030134176</v>
      </c>
      <c r="D11" s="200">
        <v>0.8</v>
      </c>
      <c r="E11" s="201">
        <f>D11*$C$11</f>
        <v>225331.3624107341</v>
      </c>
      <c r="F11" s="200">
        <v>0.2</v>
      </c>
      <c r="G11" s="201">
        <f>F11*$C$11</f>
        <v>56332.84060268352</v>
      </c>
      <c r="H11" s="200"/>
      <c r="I11" s="201">
        <f>H11*$C$11</f>
        <v>0</v>
      </c>
      <c r="J11" s="200"/>
      <c r="K11" s="201">
        <f>J11*$C$11</f>
        <v>0</v>
      </c>
      <c r="L11" s="200"/>
      <c r="M11" s="201">
        <f>L11*$C$11</f>
        <v>0</v>
      </c>
      <c r="N11" s="200"/>
      <c r="O11" s="206">
        <f>N11*$C$11</f>
        <v>0</v>
      </c>
      <c r="Q11" s="202">
        <f aca="true" t="shared" si="1" ref="Q11:Q20">D11+F11+H11+J11+L11+N11</f>
        <v>1</v>
      </c>
    </row>
    <row r="12" spans="1:17" ht="15.75">
      <c r="A12" s="189" t="s">
        <v>157</v>
      </c>
      <c r="B12" s="179">
        <f t="shared" si="0"/>
        <v>0.060223699547176275</v>
      </c>
      <c r="C12" s="181">
        <f>'Rua Francisco Schimit'!H39</f>
        <v>53388.929717880004</v>
      </c>
      <c r="D12" s="200"/>
      <c r="E12" s="201">
        <f>D12*$C$12</f>
        <v>0</v>
      </c>
      <c r="F12" s="200"/>
      <c r="G12" s="201">
        <f>F12*$C$12</f>
        <v>0</v>
      </c>
      <c r="H12" s="200"/>
      <c r="I12" s="201">
        <f>H12*$C$12</f>
        <v>0</v>
      </c>
      <c r="J12" s="200"/>
      <c r="K12" s="201">
        <f>J12*$C$12</f>
        <v>0</v>
      </c>
      <c r="L12" s="200"/>
      <c r="M12" s="201">
        <f>L12*$C$12</f>
        <v>0</v>
      </c>
      <c r="N12" s="200">
        <v>1</v>
      </c>
      <c r="O12" s="206">
        <f>C12</f>
        <v>53388.929717880004</v>
      </c>
      <c r="Q12" s="202">
        <f t="shared" si="1"/>
        <v>1</v>
      </c>
    </row>
    <row r="13" spans="1:17" ht="15.75">
      <c r="A13" s="189" t="s">
        <v>184</v>
      </c>
      <c r="B13" s="179">
        <f t="shared" si="0"/>
        <v>0.06314040798472871</v>
      </c>
      <c r="C13" s="181">
        <f>'Rua José Calegari'!H51</f>
        <v>55974.62177849563</v>
      </c>
      <c r="D13" s="200"/>
      <c r="E13" s="201">
        <f>D13*$C$13</f>
        <v>0</v>
      </c>
      <c r="F13" s="200"/>
      <c r="G13" s="201">
        <f>F13*$C$13</f>
        <v>0</v>
      </c>
      <c r="H13" s="200"/>
      <c r="I13" s="201">
        <f>H13*$C$13</f>
        <v>0</v>
      </c>
      <c r="J13" s="200">
        <v>1</v>
      </c>
      <c r="K13" s="201">
        <f>J13*$C$13</f>
        <v>55974.62177849563</v>
      </c>
      <c r="L13" s="200"/>
      <c r="M13" s="201">
        <f>L13*$C$13</f>
        <v>0</v>
      </c>
      <c r="N13" s="200"/>
      <c r="O13" s="206">
        <f>N13*$C$13</f>
        <v>0</v>
      </c>
      <c r="Q13" s="202">
        <f t="shared" si="1"/>
        <v>1</v>
      </c>
    </row>
    <row r="14" spans="1:17" ht="15.75">
      <c r="A14" s="189" t="s">
        <v>156</v>
      </c>
      <c r="B14" s="179">
        <f t="shared" si="0"/>
        <v>0.1908300163137813</v>
      </c>
      <c r="C14" s="181">
        <f>'Projetada 2'!H51</f>
        <v>169172.7742673368</v>
      </c>
      <c r="D14" s="200"/>
      <c r="E14" s="201">
        <f>D14*$C$14</f>
        <v>0</v>
      </c>
      <c r="F14" s="200">
        <v>0.8</v>
      </c>
      <c r="G14" s="201">
        <f>F14*$C$14</f>
        <v>135338.21941386943</v>
      </c>
      <c r="H14" s="200">
        <v>0.2</v>
      </c>
      <c r="I14" s="201">
        <f>H14*$C$14</f>
        <v>33834.55485346736</v>
      </c>
      <c r="J14" s="200"/>
      <c r="K14" s="201">
        <f>J14*$C$14</f>
        <v>0</v>
      </c>
      <c r="L14" s="200"/>
      <c r="M14" s="201">
        <f>L14*$C$14</f>
        <v>0</v>
      </c>
      <c r="N14" s="200"/>
      <c r="O14" s="206">
        <f>N14*$C$14</f>
        <v>0</v>
      </c>
      <c r="Q14" s="202">
        <f t="shared" si="1"/>
        <v>1</v>
      </c>
    </row>
    <row r="15" spans="1:17" ht="15.75">
      <c r="A15" s="189" t="s">
        <v>152</v>
      </c>
      <c r="B15" s="179">
        <f t="shared" si="0"/>
        <v>0.021593120565453285</v>
      </c>
      <c r="C15" s="182">
        <f>'Rua Projetada 12'!H32</f>
        <v>19142.52370623</v>
      </c>
      <c r="D15" s="200"/>
      <c r="E15" s="201">
        <f>D15*$C$15</f>
        <v>0</v>
      </c>
      <c r="F15" s="200"/>
      <c r="G15" s="201">
        <f>F15*$C$15</f>
        <v>0</v>
      </c>
      <c r="H15" s="200"/>
      <c r="I15" s="201">
        <f>H15*$C$15</f>
        <v>0</v>
      </c>
      <c r="J15" s="200"/>
      <c r="K15" s="201">
        <f>J15*$C$15</f>
        <v>0</v>
      </c>
      <c r="L15" s="200">
        <v>1</v>
      </c>
      <c r="M15" s="201">
        <f>C15</f>
        <v>19142.52370623</v>
      </c>
      <c r="N15" s="200"/>
      <c r="O15" s="206">
        <f>N15*$C$15</f>
        <v>0</v>
      </c>
      <c r="Q15" s="202">
        <f t="shared" si="1"/>
        <v>1</v>
      </c>
    </row>
    <row r="16" spans="1:17" ht="15.75">
      <c r="A16" s="189" t="s">
        <v>153</v>
      </c>
      <c r="B16" s="179">
        <f t="shared" si="0"/>
        <v>0.04475915654625189</v>
      </c>
      <c r="C16" s="182">
        <f>'Rua Projetada 90'!H39</f>
        <v>39679.453123060004</v>
      </c>
      <c r="D16" s="200"/>
      <c r="E16" s="201">
        <f>D16*$C$16</f>
        <v>0</v>
      </c>
      <c r="F16" s="200"/>
      <c r="G16" s="201">
        <f>F16*$C$16</f>
        <v>0</v>
      </c>
      <c r="H16" s="200">
        <v>1</v>
      </c>
      <c r="I16" s="201">
        <f>H16*$C$16</f>
        <v>39679.453123060004</v>
      </c>
      <c r="J16" s="200"/>
      <c r="K16" s="201">
        <f>J16*$C$16</f>
        <v>0</v>
      </c>
      <c r="L16" s="200"/>
      <c r="M16" s="201">
        <f>L16*$C$16</f>
        <v>0</v>
      </c>
      <c r="N16" s="200"/>
      <c r="O16" s="206">
        <f>N16*$C$16</f>
        <v>0</v>
      </c>
      <c r="Q16" s="202">
        <f t="shared" si="1"/>
        <v>1</v>
      </c>
    </row>
    <row r="17" spans="1:17" ht="15.75">
      <c r="A17" s="189" t="s">
        <v>154</v>
      </c>
      <c r="B17" s="179">
        <f t="shared" si="0"/>
        <v>0.03431419674327805</v>
      </c>
      <c r="C17" s="182">
        <f>'Rua Projetada 91'!H32</f>
        <v>30419.888715359997</v>
      </c>
      <c r="D17" s="200"/>
      <c r="E17" s="201">
        <f>D17*$C$17</f>
        <v>0</v>
      </c>
      <c r="F17" s="200"/>
      <c r="G17" s="201">
        <f>F17*$C$17</f>
        <v>0</v>
      </c>
      <c r="H17" s="200"/>
      <c r="I17" s="201">
        <f>H17*$C$17</f>
        <v>0</v>
      </c>
      <c r="J17" s="200">
        <v>1</v>
      </c>
      <c r="K17" s="201">
        <f>J17*$C$17</f>
        <v>30419.888715359997</v>
      </c>
      <c r="L17" s="200"/>
      <c r="M17" s="201">
        <f>L17*$C$17</f>
        <v>0</v>
      </c>
      <c r="N17" s="200"/>
      <c r="O17" s="206">
        <f>N17*$C$17</f>
        <v>0</v>
      </c>
      <c r="Q17" s="202">
        <f t="shared" si="1"/>
        <v>1</v>
      </c>
    </row>
    <row r="18" spans="1:17" ht="15.75">
      <c r="A18" s="189" t="s">
        <v>155</v>
      </c>
      <c r="B18" s="179">
        <f t="shared" si="0"/>
        <v>0.030621326120121476</v>
      </c>
      <c r="C18" s="182">
        <f>'Rua Thereza '!H38</f>
        <v>27146.120885761855</v>
      </c>
      <c r="D18" s="200"/>
      <c r="E18" s="201">
        <f>D18*$C$18</f>
        <v>0</v>
      </c>
      <c r="F18" s="200"/>
      <c r="G18" s="201">
        <f>F18*$C$18</f>
        <v>0</v>
      </c>
      <c r="H18" s="200"/>
      <c r="I18" s="201">
        <f>H18*$C$18</f>
        <v>0</v>
      </c>
      <c r="J18" s="200"/>
      <c r="K18" s="201">
        <f>J18*$C$18</f>
        <v>0</v>
      </c>
      <c r="L18" s="200"/>
      <c r="M18" s="201">
        <f>L18*$C$18</f>
        <v>0</v>
      </c>
      <c r="N18" s="200">
        <v>1</v>
      </c>
      <c r="O18" s="206">
        <f>C18</f>
        <v>27146.120885761855</v>
      </c>
      <c r="Q18" s="202">
        <f>D18+F18+H18+J18+L18+N18</f>
        <v>1</v>
      </c>
    </row>
    <row r="19" spans="1:17" ht="15.75">
      <c r="A19" s="189" t="s">
        <v>178</v>
      </c>
      <c r="B19" s="179">
        <f t="shared" si="0"/>
        <v>0.13169882697461802</v>
      </c>
      <c r="C19" s="182">
        <f>'Rua do Cemiterio'!H32</f>
        <v>116752.366097456</v>
      </c>
      <c r="D19" s="200"/>
      <c r="E19" s="201">
        <f>D19*$C$18</f>
        <v>0</v>
      </c>
      <c r="F19" s="200"/>
      <c r="G19" s="201">
        <f>F19*$C$18</f>
        <v>0</v>
      </c>
      <c r="H19" s="200">
        <v>0.5</v>
      </c>
      <c r="I19" s="201">
        <f>H19*$C$19</f>
        <v>58376.183048728</v>
      </c>
      <c r="J19" s="200">
        <v>0.5</v>
      </c>
      <c r="K19" s="201">
        <f>J19*$C$19</f>
        <v>58376.183048728</v>
      </c>
      <c r="L19" s="200"/>
      <c r="M19" s="201">
        <f>L19*$C$18</f>
        <v>0</v>
      </c>
      <c r="N19" s="200"/>
      <c r="O19" s="206">
        <f>N19*$C$18</f>
        <v>0</v>
      </c>
      <c r="Q19" s="202">
        <f t="shared" si="1"/>
        <v>1</v>
      </c>
    </row>
    <row r="20" spans="1:17" ht="15.75">
      <c r="A20" s="189" t="s">
        <v>123</v>
      </c>
      <c r="B20" s="179">
        <f t="shared" si="0"/>
        <v>0.0009275113891729565</v>
      </c>
      <c r="C20" s="182">
        <f>'Planilha Geral'!H71</f>
        <v>822.2483962530001</v>
      </c>
      <c r="D20" s="200"/>
      <c r="E20" s="201">
        <f>D20*$C$20</f>
        <v>0</v>
      </c>
      <c r="F20" s="200"/>
      <c r="G20" s="201">
        <f>F20*$C$20</f>
        <v>0</v>
      </c>
      <c r="H20" s="200"/>
      <c r="I20" s="201">
        <f>H20*$C$20</f>
        <v>0</v>
      </c>
      <c r="J20" s="200"/>
      <c r="K20" s="201">
        <f>J20*$C$20</f>
        <v>0</v>
      </c>
      <c r="L20" s="200"/>
      <c r="M20" s="201">
        <f>L20*$C$20</f>
        <v>0</v>
      </c>
      <c r="N20" s="200">
        <v>1</v>
      </c>
      <c r="O20" s="206">
        <f>N20*$C$20</f>
        <v>822.2483962530001</v>
      </c>
      <c r="Q20" s="202">
        <f t="shared" si="1"/>
        <v>1</v>
      </c>
    </row>
    <row r="21" spans="1:21" ht="15.75">
      <c r="A21" s="183" t="s">
        <v>148</v>
      </c>
      <c r="B21" s="184">
        <f>SUM(B10:B20)</f>
        <v>0.9999999999999999</v>
      </c>
      <c r="C21" s="185">
        <f>SUM(C10:C20)</f>
        <v>886510.2961012508</v>
      </c>
      <c r="D21" s="186">
        <f>E21/C21</f>
        <v>0.28365785666319376</v>
      </c>
      <c r="E21" s="187">
        <f>SUM(E10:E20)</f>
        <v>251465.61050193408</v>
      </c>
      <c r="F21" s="186">
        <f>G21/$C$21</f>
        <v>0.23114637763316986</v>
      </c>
      <c r="G21" s="187">
        <f>SUM(G10:G20)</f>
        <v>204913.64367831295</v>
      </c>
      <c r="H21" s="186">
        <f>I21/$C$21</f>
        <v>0.16371245243883703</v>
      </c>
      <c r="I21" s="187">
        <f>SUM(I10:I20)</f>
        <v>145132.77468701536</v>
      </c>
      <c r="J21" s="186">
        <f>K21/$C$21</f>
        <v>0.17824189735783563</v>
      </c>
      <c r="K21" s="187">
        <f>SUM(K10:K20)</f>
        <v>158013.2772043436</v>
      </c>
      <c r="L21" s="186">
        <f>M21/$C$21</f>
        <v>0.03653099970797317</v>
      </c>
      <c r="M21" s="187">
        <f>SUM(M10:M20)</f>
        <v>32385.10736799</v>
      </c>
      <c r="N21" s="186">
        <f>O21/$C$21</f>
        <v>0.10671041619899059</v>
      </c>
      <c r="O21" s="207">
        <f>SUM(O10:O20)</f>
        <v>94599.88266165486</v>
      </c>
      <c r="P21" s="203"/>
      <c r="Q21" s="203"/>
      <c r="R21" s="203"/>
      <c r="S21" s="203"/>
      <c r="T21" s="203"/>
      <c r="U21" s="174"/>
    </row>
    <row r="22" spans="1:21" ht="16.5" thickBot="1">
      <c r="A22" s="215" t="s">
        <v>149</v>
      </c>
      <c r="B22" s="216"/>
      <c r="C22" s="217">
        <f>C21</f>
        <v>886510.2961012508</v>
      </c>
      <c r="D22" s="188">
        <f>E22/C22</f>
        <v>0.28365785666319376</v>
      </c>
      <c r="E22" s="218">
        <f>E21</f>
        <v>251465.61050193408</v>
      </c>
      <c r="F22" s="188">
        <f aca="true" t="shared" si="2" ref="F22:N22">F21+D22</f>
        <v>0.5148042342963637</v>
      </c>
      <c r="G22" s="218">
        <f t="shared" si="2"/>
        <v>456379.254180247</v>
      </c>
      <c r="H22" s="188">
        <f t="shared" si="2"/>
        <v>0.6785166867352007</v>
      </c>
      <c r="I22" s="218">
        <f t="shared" si="2"/>
        <v>601512.0288672624</v>
      </c>
      <c r="J22" s="188">
        <f t="shared" si="2"/>
        <v>0.8567585840930363</v>
      </c>
      <c r="K22" s="218">
        <f t="shared" si="2"/>
        <v>759525.306071606</v>
      </c>
      <c r="L22" s="188">
        <f t="shared" si="2"/>
        <v>0.8932895838010094</v>
      </c>
      <c r="M22" s="218">
        <f t="shared" si="2"/>
        <v>791910.413439596</v>
      </c>
      <c r="N22" s="188">
        <f t="shared" si="2"/>
        <v>1</v>
      </c>
      <c r="O22" s="219">
        <f>O21+M22</f>
        <v>886510.2961012508</v>
      </c>
      <c r="P22" s="204"/>
      <c r="Q22" s="204"/>
      <c r="R22" s="204"/>
      <c r="S22" s="204"/>
      <c r="T22" s="204"/>
      <c r="U22" s="176"/>
    </row>
    <row r="23" spans="1:21" ht="15.75">
      <c r="A23" s="194"/>
      <c r="B23" s="195"/>
      <c r="C23" s="196"/>
      <c r="D23" s="197"/>
      <c r="E23" s="198"/>
      <c r="F23" s="197"/>
      <c r="G23" s="198"/>
      <c r="H23" s="197"/>
      <c r="I23" s="198"/>
      <c r="J23" s="171"/>
      <c r="K23" s="171"/>
      <c r="L23" s="171"/>
      <c r="M23" s="171"/>
      <c r="N23" s="171"/>
      <c r="O23" s="172"/>
      <c r="P23" s="204"/>
      <c r="Q23" s="204"/>
      <c r="R23" s="204"/>
      <c r="S23" s="204"/>
      <c r="T23" s="204"/>
      <c r="U23" s="176"/>
    </row>
    <row r="24" spans="1:21" ht="15.75">
      <c r="A24" s="194"/>
      <c r="B24" s="195"/>
      <c r="C24" s="196"/>
      <c r="D24" s="197"/>
      <c r="E24" s="198"/>
      <c r="F24" s="197"/>
      <c r="G24" s="198"/>
      <c r="H24" s="197"/>
      <c r="I24" s="198"/>
      <c r="J24" s="171"/>
      <c r="K24" s="171"/>
      <c r="L24" s="171"/>
      <c r="M24" s="171"/>
      <c r="N24" s="171"/>
      <c r="O24" s="172"/>
      <c r="P24" s="204"/>
      <c r="Q24" s="204"/>
      <c r="R24" s="204"/>
      <c r="S24" s="204"/>
      <c r="T24" s="204"/>
      <c r="U24" s="176"/>
    </row>
    <row r="25" spans="1:21" ht="15.75">
      <c r="A25" s="439"/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1"/>
      <c r="P25" s="204"/>
      <c r="Q25" s="204"/>
      <c r="R25" s="204"/>
      <c r="S25" s="204"/>
      <c r="T25" s="204"/>
      <c r="U25" s="176"/>
    </row>
    <row r="26" spans="1:21" ht="15">
      <c r="A26" s="442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4"/>
      <c r="P26" s="204"/>
      <c r="Q26" s="204"/>
      <c r="R26" s="204"/>
      <c r="S26" s="204"/>
      <c r="T26" s="204"/>
      <c r="U26" s="176"/>
    </row>
    <row r="27" spans="1:21" ht="18" customHeight="1">
      <c r="A27" s="240"/>
      <c r="B27" s="173"/>
      <c r="C27" s="173"/>
      <c r="D27" s="173"/>
      <c r="E27" s="237"/>
      <c r="F27" s="228"/>
      <c r="G27" s="229"/>
      <c r="H27" s="197"/>
      <c r="I27" s="230"/>
      <c r="J27" s="197"/>
      <c r="K27" s="230"/>
      <c r="L27" s="197"/>
      <c r="M27" s="230"/>
      <c r="N27" s="231"/>
      <c r="O27" s="232"/>
      <c r="P27" s="231"/>
      <c r="Q27" s="231"/>
      <c r="R27" s="231"/>
      <c r="S27" s="232"/>
      <c r="T27" s="204"/>
      <c r="U27" s="176"/>
    </row>
    <row r="28" spans="1:21" ht="20.25" customHeight="1">
      <c r="A28" s="241"/>
      <c r="D28" s="171"/>
      <c r="E28" s="233" t="s">
        <v>48</v>
      </c>
      <c r="F28" s="233"/>
      <c r="G28" s="233"/>
      <c r="H28" s="233"/>
      <c r="I28" s="233"/>
      <c r="J28" s="233"/>
      <c r="K28" s="233"/>
      <c r="L28" s="233"/>
      <c r="M28" s="233"/>
      <c r="N28" s="233"/>
      <c r="O28" s="234"/>
      <c r="P28" s="233"/>
      <c r="Q28" s="233"/>
      <c r="R28" s="233"/>
      <c r="S28" s="234"/>
      <c r="T28" s="204"/>
      <c r="U28" s="176"/>
    </row>
    <row r="29" spans="1:21" ht="15">
      <c r="A29" s="241"/>
      <c r="E29" s="235" t="s">
        <v>185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6"/>
      <c r="P29" s="235"/>
      <c r="Q29" s="235"/>
      <c r="R29" s="235"/>
      <c r="S29" s="236"/>
      <c r="T29" s="204"/>
      <c r="U29" s="176"/>
    </row>
    <row r="30" spans="1:21" ht="15">
      <c r="A30" s="241"/>
      <c r="O30" s="172"/>
      <c r="P30" s="204"/>
      <c r="Q30" s="204"/>
      <c r="R30" s="204"/>
      <c r="S30" s="204"/>
      <c r="T30" s="204"/>
      <c r="U30" s="176"/>
    </row>
    <row r="31" spans="1:21" ht="15">
      <c r="A31" s="241"/>
      <c r="O31" s="172"/>
      <c r="P31" s="204"/>
      <c r="Q31" s="204"/>
      <c r="R31" s="204"/>
      <c r="S31" s="204"/>
      <c r="T31" s="204"/>
      <c r="U31" s="176"/>
    </row>
    <row r="32" spans="1:21" ht="15.75" thickBot="1">
      <c r="A32" s="242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  <c r="P32" s="204"/>
      <c r="Q32" s="204"/>
      <c r="R32" s="204"/>
      <c r="S32" s="204"/>
      <c r="T32" s="204"/>
      <c r="U32" s="176"/>
    </row>
    <row r="33" spans="16:21" ht="15">
      <c r="P33" s="175"/>
      <c r="Q33" s="204"/>
      <c r="R33" s="204"/>
      <c r="S33" s="204"/>
      <c r="T33" s="204"/>
      <c r="U33" s="176"/>
    </row>
    <row r="34" spans="16:21" ht="15">
      <c r="P34" s="175"/>
      <c r="Q34" s="204"/>
      <c r="R34" s="204"/>
      <c r="S34" s="204"/>
      <c r="T34" s="204"/>
      <c r="U34" s="176"/>
    </row>
    <row r="35" spans="16:21" ht="15">
      <c r="P35" s="177"/>
      <c r="Q35" s="205"/>
      <c r="R35" s="205"/>
      <c r="S35" s="205"/>
      <c r="T35" s="205"/>
      <c r="U35" s="178"/>
    </row>
  </sheetData>
  <sheetProtection/>
  <mergeCells count="12">
    <mergeCell ref="A25:O25"/>
    <mergeCell ref="A26:O26"/>
    <mergeCell ref="D8:E8"/>
    <mergeCell ref="F8:G8"/>
    <mergeCell ref="H8:I8"/>
    <mergeCell ref="D7:O7"/>
    <mergeCell ref="A1:O4"/>
    <mergeCell ref="A5:O5"/>
    <mergeCell ref="A6:O6"/>
    <mergeCell ref="J8:K8"/>
    <mergeCell ref="L8:M8"/>
    <mergeCell ref="N8:O8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SheetLayoutView="100" zoomScalePageLayoutView="0" workbookViewId="0" topLeftCell="A1">
      <selection activeCell="J48" sqref="J48"/>
    </sheetView>
  </sheetViews>
  <sheetFormatPr defaultColWidth="17.421875" defaultRowHeight="28.5" customHeight="1"/>
  <cols>
    <col min="1" max="1" width="24.140625" style="292" bestFit="1" customWidth="1"/>
    <col min="2" max="2" width="10.140625" style="293" customWidth="1"/>
    <col min="3" max="3" width="10.28125" style="293" customWidth="1"/>
    <col min="4" max="4" width="10.00390625" style="293" customWidth="1"/>
    <col min="5" max="5" width="7.28125" style="293" bestFit="1" customWidth="1"/>
    <col min="6" max="6" width="9.28125" style="293" bestFit="1" customWidth="1"/>
    <col min="7" max="7" width="7.8515625" style="293" bestFit="1" customWidth="1"/>
    <col min="8" max="8" width="10.57421875" style="296" bestFit="1" customWidth="1"/>
    <col min="9" max="9" width="7.421875" style="298" bestFit="1" customWidth="1"/>
    <col min="10" max="10" width="10.8515625" style="293" bestFit="1" customWidth="1"/>
    <col min="11" max="16384" width="17.421875" style="298" customWidth="1"/>
  </cols>
  <sheetData>
    <row r="1" spans="1:10" ht="28.5" customHeight="1">
      <c r="A1" s="486" t="s">
        <v>187</v>
      </c>
      <c r="B1" s="487"/>
      <c r="C1" s="487"/>
      <c r="D1" s="487"/>
      <c r="E1" s="487"/>
      <c r="F1" s="487"/>
      <c r="G1" s="487"/>
      <c r="H1" s="487"/>
      <c r="I1" s="487"/>
      <c r="J1" s="488"/>
    </row>
    <row r="2" spans="1:10" ht="28.5" customHeight="1">
      <c r="A2" s="489" t="s">
        <v>233</v>
      </c>
      <c r="B2" s="490"/>
      <c r="C2" s="490"/>
      <c r="D2" s="490"/>
      <c r="E2" s="490"/>
      <c r="F2" s="490"/>
      <c r="G2" s="490"/>
      <c r="H2" s="490"/>
      <c r="I2" s="490"/>
      <c r="J2" s="491"/>
    </row>
    <row r="3" spans="1:10" ht="28.5" customHeight="1">
      <c r="A3" s="475" t="s">
        <v>188</v>
      </c>
      <c r="B3" s="476"/>
      <c r="C3" s="476"/>
      <c r="D3" s="476" t="s">
        <v>1</v>
      </c>
      <c r="E3" s="476"/>
      <c r="F3" s="492" t="s">
        <v>189</v>
      </c>
      <c r="G3" s="492"/>
      <c r="H3" s="492" t="s">
        <v>190</v>
      </c>
      <c r="I3" s="492"/>
      <c r="J3" s="493"/>
    </row>
    <row r="4" spans="1:10" ht="36" customHeight="1" thickBot="1">
      <c r="A4" s="494" t="s">
        <v>320</v>
      </c>
      <c r="B4" s="495"/>
      <c r="C4" s="495"/>
      <c r="D4" s="496" t="s">
        <v>244</v>
      </c>
      <c r="E4" s="496"/>
      <c r="F4" s="483" t="s">
        <v>241</v>
      </c>
      <c r="G4" s="483"/>
      <c r="H4" s="484" t="s">
        <v>194</v>
      </c>
      <c r="I4" s="484"/>
      <c r="J4" s="485"/>
    </row>
    <row r="5" spans="1:10" ht="12" thickBot="1">
      <c r="A5" s="447"/>
      <c r="B5" s="448"/>
      <c r="C5" s="448"/>
      <c r="D5" s="448"/>
      <c r="E5" s="448"/>
      <c r="F5" s="448"/>
      <c r="G5" s="448"/>
      <c r="H5" s="448"/>
      <c r="I5" s="448"/>
      <c r="J5" s="448"/>
    </row>
    <row r="6" spans="1:10" s="293" customFormat="1" ht="22.5">
      <c r="A6" s="331" t="s">
        <v>195</v>
      </c>
      <c r="B6" s="311" t="s">
        <v>196</v>
      </c>
      <c r="C6" s="311" t="s">
        <v>197</v>
      </c>
      <c r="D6" s="312" t="s">
        <v>198</v>
      </c>
      <c r="E6" s="313" t="s">
        <v>199</v>
      </c>
      <c r="F6" s="472" t="s">
        <v>200</v>
      </c>
      <c r="G6" s="472"/>
      <c r="H6" s="472" t="s">
        <v>201</v>
      </c>
      <c r="I6" s="472"/>
      <c r="J6" s="314" t="s">
        <v>202</v>
      </c>
    </row>
    <row r="7" spans="1:10" ht="11.25">
      <c r="A7" s="315"/>
      <c r="B7" s="294"/>
      <c r="C7" s="348"/>
      <c r="D7" s="346"/>
      <c r="E7" s="346"/>
      <c r="F7" s="473"/>
      <c r="G7" s="473"/>
      <c r="H7" s="473"/>
      <c r="I7" s="473"/>
      <c r="J7" s="320"/>
    </row>
    <row r="8" spans="1:10" ht="12" thickBot="1">
      <c r="A8" s="461" t="s">
        <v>191</v>
      </c>
      <c r="B8" s="462"/>
      <c r="C8" s="462"/>
      <c r="D8" s="462"/>
      <c r="E8" s="462"/>
      <c r="F8" s="462"/>
      <c r="G8" s="462"/>
      <c r="H8" s="462"/>
      <c r="I8" s="463"/>
      <c r="J8" s="319">
        <f>SUM(J7)</f>
        <v>0</v>
      </c>
    </row>
    <row r="9" spans="1:10" ht="12" thickBot="1">
      <c r="A9" s="482"/>
      <c r="B9" s="482"/>
      <c r="C9" s="482"/>
      <c r="D9" s="482"/>
      <c r="E9" s="482"/>
      <c r="F9" s="482"/>
      <c r="G9" s="482"/>
      <c r="H9" s="482"/>
      <c r="I9" s="482"/>
      <c r="J9" s="482"/>
    </row>
    <row r="10" spans="1:10" s="293" customFormat="1" ht="22.5">
      <c r="A10" s="331" t="s">
        <v>203</v>
      </c>
      <c r="B10" s="311" t="s">
        <v>196</v>
      </c>
      <c r="C10" s="311" t="s">
        <v>204</v>
      </c>
      <c r="D10" s="312" t="s">
        <v>205</v>
      </c>
      <c r="E10" s="472" t="s">
        <v>206</v>
      </c>
      <c r="F10" s="472"/>
      <c r="G10" s="472" t="s">
        <v>207</v>
      </c>
      <c r="H10" s="472"/>
      <c r="I10" s="472"/>
      <c r="J10" s="314" t="s">
        <v>202</v>
      </c>
    </row>
    <row r="11" spans="1:10" s="299" customFormat="1" ht="11.25">
      <c r="A11" s="342" t="s">
        <v>208</v>
      </c>
      <c r="B11" s="295">
        <v>20060</v>
      </c>
      <c r="C11" s="343">
        <v>2.26</v>
      </c>
      <c r="D11" s="347">
        <v>128.33</v>
      </c>
      <c r="E11" s="449">
        <v>19.01</v>
      </c>
      <c r="F11" s="449"/>
      <c r="G11" s="450">
        <v>0.3</v>
      </c>
      <c r="H11" s="450"/>
      <c r="I11" s="450"/>
      <c r="J11" s="316">
        <f>E11*G11</f>
        <v>5.703</v>
      </c>
    </row>
    <row r="12" spans="1:10" s="299" customFormat="1" ht="11.25">
      <c r="A12" s="342" t="s">
        <v>235</v>
      </c>
      <c r="B12" s="295">
        <v>20109</v>
      </c>
      <c r="C12" s="343">
        <v>1.24</v>
      </c>
      <c r="D12" s="347">
        <v>128.33</v>
      </c>
      <c r="E12" s="449">
        <v>10.43</v>
      </c>
      <c r="F12" s="449"/>
      <c r="G12" s="450">
        <v>0.5</v>
      </c>
      <c r="H12" s="450"/>
      <c r="I12" s="450"/>
      <c r="J12" s="316">
        <f>E12*G12-0.01</f>
        <v>5.205</v>
      </c>
    </row>
    <row r="13" spans="1:10" s="299" customFormat="1" ht="11.25">
      <c r="A13" s="342" t="s">
        <v>242</v>
      </c>
      <c r="B13" s="295">
        <v>20002</v>
      </c>
      <c r="C13" s="343">
        <v>1</v>
      </c>
      <c r="D13" s="347">
        <v>128.33</v>
      </c>
      <c r="E13" s="449">
        <v>8.41</v>
      </c>
      <c r="F13" s="449"/>
      <c r="G13" s="450">
        <v>8</v>
      </c>
      <c r="H13" s="450"/>
      <c r="I13" s="450"/>
      <c r="J13" s="316">
        <f>E13*G13</f>
        <v>67.28</v>
      </c>
    </row>
    <row r="14" spans="1:10" s="299" customFormat="1" ht="11.25">
      <c r="A14" s="342" t="s">
        <v>251</v>
      </c>
      <c r="B14" s="295">
        <v>20005</v>
      </c>
      <c r="C14" s="343"/>
      <c r="D14" s="347">
        <v>128.33</v>
      </c>
      <c r="E14" s="449">
        <v>16.49</v>
      </c>
      <c r="F14" s="449"/>
      <c r="G14" s="450">
        <v>1.3</v>
      </c>
      <c r="H14" s="450"/>
      <c r="I14" s="450"/>
      <c r="J14" s="316">
        <f>E14*G14</f>
        <v>21.436999999999998</v>
      </c>
    </row>
    <row r="15" spans="1:10" ht="12" thickBot="1">
      <c r="A15" s="479" t="s">
        <v>192</v>
      </c>
      <c r="B15" s="480"/>
      <c r="C15" s="480"/>
      <c r="D15" s="480"/>
      <c r="E15" s="480"/>
      <c r="F15" s="480"/>
      <c r="G15" s="480"/>
      <c r="H15" s="480"/>
      <c r="I15" s="480"/>
      <c r="J15" s="319">
        <f>SUM(J11:J14)</f>
        <v>99.625</v>
      </c>
    </row>
    <row r="16" spans="1:10" ht="12" thickBot="1">
      <c r="A16" s="481"/>
      <c r="B16" s="481"/>
      <c r="C16" s="481"/>
      <c r="D16" s="481"/>
      <c r="E16" s="481"/>
      <c r="F16" s="481"/>
      <c r="G16" s="481"/>
      <c r="H16" s="481"/>
      <c r="I16" s="481"/>
      <c r="J16" s="481"/>
    </row>
    <row r="17" spans="1:10" s="293" customFormat="1" ht="22.5">
      <c r="A17" s="331" t="s">
        <v>209</v>
      </c>
      <c r="B17" s="311" t="s">
        <v>196</v>
      </c>
      <c r="C17" s="311" t="s">
        <v>142</v>
      </c>
      <c r="D17" s="312" t="s">
        <v>210</v>
      </c>
      <c r="E17" s="472" t="s">
        <v>211</v>
      </c>
      <c r="F17" s="472"/>
      <c r="G17" s="472" t="s">
        <v>212</v>
      </c>
      <c r="H17" s="472"/>
      <c r="I17" s="472"/>
      <c r="J17" s="314" t="s">
        <v>213</v>
      </c>
    </row>
    <row r="18" spans="1:10" ht="11.25">
      <c r="A18" s="315" t="s">
        <v>236</v>
      </c>
      <c r="B18" s="294">
        <v>2000</v>
      </c>
      <c r="C18" s="344">
        <v>5</v>
      </c>
      <c r="D18" s="291" t="s">
        <v>237</v>
      </c>
      <c r="E18" s="473"/>
      <c r="F18" s="473"/>
      <c r="G18" s="474"/>
      <c r="H18" s="474"/>
      <c r="I18" s="474"/>
      <c r="J18" s="320">
        <f>0.87+3.03</f>
        <v>3.9</v>
      </c>
    </row>
    <row r="19" spans="1:10" ht="12" thickBot="1">
      <c r="A19" s="461" t="s">
        <v>193</v>
      </c>
      <c r="B19" s="462"/>
      <c r="C19" s="462"/>
      <c r="D19" s="462"/>
      <c r="E19" s="462"/>
      <c r="F19" s="462"/>
      <c r="G19" s="462"/>
      <c r="H19" s="462"/>
      <c r="I19" s="463"/>
      <c r="J19" s="319">
        <v>1.31</v>
      </c>
    </row>
    <row r="20" spans="1:10" ht="12" thickBot="1">
      <c r="A20" s="470"/>
      <c r="B20" s="470"/>
      <c r="C20" s="470"/>
      <c r="D20" s="470"/>
      <c r="E20" s="470"/>
      <c r="F20" s="470"/>
      <c r="G20" s="470"/>
      <c r="H20" s="470"/>
      <c r="I20" s="470"/>
      <c r="J20" s="470"/>
    </row>
    <row r="21" spans="1:10" ht="11.25" customHeight="1">
      <c r="A21" s="302"/>
      <c r="B21" s="303"/>
      <c r="C21" s="303"/>
      <c r="D21" s="457" t="s">
        <v>214</v>
      </c>
      <c r="E21" s="458"/>
      <c r="F21" s="458"/>
      <c r="G21" s="458"/>
      <c r="H21" s="458"/>
      <c r="I21" s="458"/>
      <c r="J21" s="317">
        <f>J8+J15+J19</f>
        <v>100.935</v>
      </c>
    </row>
    <row r="22" spans="1:10" ht="11.25" customHeight="1">
      <c r="A22" s="302"/>
      <c r="B22" s="303"/>
      <c r="C22" s="303"/>
      <c r="D22" s="475" t="s">
        <v>215</v>
      </c>
      <c r="E22" s="476"/>
      <c r="F22" s="476"/>
      <c r="G22" s="476"/>
      <c r="H22" s="476"/>
      <c r="I22" s="476"/>
      <c r="J22" s="318">
        <v>1</v>
      </c>
    </row>
    <row r="23" spans="1:10" ht="11.25" customHeight="1" thickBot="1">
      <c r="A23" s="302"/>
      <c r="B23" s="303"/>
      <c r="C23" s="303"/>
      <c r="D23" s="477" t="s">
        <v>216</v>
      </c>
      <c r="E23" s="478"/>
      <c r="F23" s="478"/>
      <c r="G23" s="478"/>
      <c r="H23" s="478"/>
      <c r="I23" s="478"/>
      <c r="J23" s="319">
        <f>J21/J22</f>
        <v>100.935</v>
      </c>
    </row>
    <row r="24" spans="1:10" ht="12" thickBot="1">
      <c r="A24" s="302"/>
      <c r="B24" s="303"/>
      <c r="C24" s="303"/>
      <c r="D24" s="303"/>
      <c r="E24" s="303"/>
      <c r="F24" s="303"/>
      <c r="G24" s="303"/>
      <c r="H24" s="307"/>
      <c r="J24" s="307"/>
    </row>
    <row r="25" spans="1:10" ht="22.5">
      <c r="A25" s="331" t="s">
        <v>217</v>
      </c>
      <c r="B25" s="311" t="s">
        <v>196</v>
      </c>
      <c r="C25" s="311" t="s">
        <v>218</v>
      </c>
      <c r="D25" s="471" t="s">
        <v>219</v>
      </c>
      <c r="E25" s="471"/>
      <c r="F25" s="471"/>
      <c r="G25" s="472" t="s">
        <v>207</v>
      </c>
      <c r="H25" s="472"/>
      <c r="I25" s="472"/>
      <c r="J25" s="314" t="s">
        <v>219</v>
      </c>
    </row>
    <row r="26" spans="1:10" ht="22.5">
      <c r="A26" s="334" t="s">
        <v>245</v>
      </c>
      <c r="B26" s="294" t="s">
        <v>246</v>
      </c>
      <c r="C26" s="294" t="s">
        <v>0</v>
      </c>
      <c r="D26" s="451">
        <v>7.92</v>
      </c>
      <c r="E26" s="452"/>
      <c r="F26" s="453"/>
      <c r="G26" s="454">
        <f>1.5*2+2</f>
        <v>5</v>
      </c>
      <c r="H26" s="455"/>
      <c r="I26" s="456"/>
      <c r="J26" s="320">
        <f>D26*G26</f>
        <v>39.6</v>
      </c>
    </row>
    <row r="27" spans="1:10" ht="22.5">
      <c r="A27" s="334" t="s">
        <v>248</v>
      </c>
      <c r="B27" s="294" t="s">
        <v>247</v>
      </c>
      <c r="C27" s="294" t="s">
        <v>82</v>
      </c>
      <c r="D27" s="468">
        <v>3.86</v>
      </c>
      <c r="E27" s="468"/>
      <c r="F27" s="468"/>
      <c r="G27" s="469">
        <v>115.59</v>
      </c>
      <c r="H27" s="469"/>
      <c r="I27" s="469"/>
      <c r="J27" s="320">
        <f>D27*G27</f>
        <v>446.1774</v>
      </c>
    </row>
    <row r="28" spans="1:10" ht="22.5">
      <c r="A28" s="334" t="s">
        <v>250</v>
      </c>
      <c r="B28" s="294" t="s">
        <v>249</v>
      </c>
      <c r="C28" s="294" t="s">
        <v>0</v>
      </c>
      <c r="D28" s="468">
        <v>145.33</v>
      </c>
      <c r="E28" s="468"/>
      <c r="F28" s="468"/>
      <c r="G28" s="469">
        <f>4*1.5</f>
        <v>6</v>
      </c>
      <c r="H28" s="469"/>
      <c r="I28" s="469"/>
      <c r="J28" s="320">
        <f>D28*G28</f>
        <v>871.98</v>
      </c>
    </row>
    <row r="29" spans="1:29" ht="15.75" thickBot="1">
      <c r="A29" s="461" t="s">
        <v>220</v>
      </c>
      <c r="B29" s="462"/>
      <c r="C29" s="462"/>
      <c r="D29" s="462"/>
      <c r="E29" s="462"/>
      <c r="F29" s="462"/>
      <c r="G29" s="462"/>
      <c r="H29" s="462"/>
      <c r="I29" s="463"/>
      <c r="J29" s="319">
        <f>SUM(J26:J28)</f>
        <v>1357.7574</v>
      </c>
      <c r="L29"/>
      <c r="M29" s="350" t="s">
        <v>252</v>
      </c>
      <c r="N29" s="350" t="s">
        <v>253</v>
      </c>
      <c r="O29" s="350" t="s">
        <v>254</v>
      </c>
      <c r="P29" s="350" t="s">
        <v>255</v>
      </c>
      <c r="Q29" s="350" t="s">
        <v>256</v>
      </c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293"/>
    </row>
    <row r="30" spans="1:29" ht="15.75" thickBot="1">
      <c r="A30" s="470"/>
      <c r="B30" s="470"/>
      <c r="C30" s="470"/>
      <c r="D30" s="470"/>
      <c r="E30" s="470"/>
      <c r="F30" s="470"/>
      <c r="G30" s="470"/>
      <c r="H30" s="470"/>
      <c r="I30" s="470"/>
      <c r="J30" s="470"/>
      <c r="L30" t="s">
        <v>257</v>
      </c>
      <c r="M30" s="350">
        <f>(1.5*2+1*2)*1.7*0.3+1.5*1*0.3</f>
        <v>3</v>
      </c>
      <c r="N30" s="350">
        <f>1.5*1*0.05</f>
        <v>0.07500000000000001</v>
      </c>
      <c r="O30" s="350">
        <f>(1.5*2+1*2)*1.7</f>
        <v>8.5</v>
      </c>
      <c r="P30" s="350">
        <f>(U30+V30)*0.963</f>
        <v>56.17499999999999</v>
      </c>
      <c r="Q30" s="350">
        <f>1.6*1.2*0.3+1.6*1.2*1.5</f>
        <v>3.456</v>
      </c>
      <c r="R30" s="351"/>
      <c r="S30" s="351">
        <f>1.5/0.15</f>
        <v>10</v>
      </c>
      <c r="T30" s="351">
        <f>1/0.15</f>
        <v>6.666666666666667</v>
      </c>
      <c r="U30" s="351">
        <f>S30*Z30</f>
        <v>37</v>
      </c>
      <c r="V30" s="351">
        <f>T30*AA30</f>
        <v>21.333333333333332</v>
      </c>
      <c r="W30" s="351">
        <f>1.7/0.15</f>
        <v>11.333333333333334</v>
      </c>
      <c r="X30" s="351">
        <f>W30*AB30</f>
        <v>53.26666666666666</v>
      </c>
      <c r="Y30" s="351"/>
      <c r="Z30" s="351">
        <f>1.5*2-(0.05*4)+1-(0.05*2)</f>
        <v>3.6999999999999997</v>
      </c>
      <c r="AA30" s="351">
        <f>1.5-(2*0.05)+1*2-(4*0.05)</f>
        <v>3.1999999999999997</v>
      </c>
      <c r="AB30" s="351">
        <f>1.5*2-(4*0.05)+1*2-(4*0.05)+0.1</f>
        <v>4.699999999999999</v>
      </c>
      <c r="AC30" s="293"/>
    </row>
    <row r="31" spans="1:10" ht="22.5">
      <c r="A31" s="331" t="s">
        <v>221</v>
      </c>
      <c r="B31" s="311" t="s">
        <v>196</v>
      </c>
      <c r="C31" s="311" t="s">
        <v>218</v>
      </c>
      <c r="D31" s="471" t="s">
        <v>219</v>
      </c>
      <c r="E31" s="471"/>
      <c r="F31" s="471"/>
      <c r="G31" s="472" t="s">
        <v>207</v>
      </c>
      <c r="H31" s="472"/>
      <c r="I31" s="472"/>
      <c r="J31" s="314" t="s">
        <v>219</v>
      </c>
    </row>
    <row r="32" spans="1:10" ht="33.75">
      <c r="A32" s="341" t="s">
        <v>238</v>
      </c>
      <c r="B32" s="340">
        <v>40376</v>
      </c>
      <c r="C32" s="294" t="s">
        <v>82</v>
      </c>
      <c r="D32" s="451">
        <v>6.28</v>
      </c>
      <c r="E32" s="452"/>
      <c r="F32" s="453"/>
      <c r="G32" s="454">
        <f>P30</f>
        <v>56.17499999999999</v>
      </c>
      <c r="H32" s="455"/>
      <c r="I32" s="456"/>
      <c r="J32" s="320">
        <f aca="true" t="shared" si="0" ref="J32:J39">D32*G32</f>
        <v>352.77899999999994</v>
      </c>
    </row>
    <row r="33" spans="1:10" ht="22.5">
      <c r="A33" s="334" t="s">
        <v>222</v>
      </c>
      <c r="B33" s="294">
        <v>40358</v>
      </c>
      <c r="C33" s="294" t="s">
        <v>6</v>
      </c>
      <c r="D33" s="468">
        <v>420.42</v>
      </c>
      <c r="E33" s="468"/>
      <c r="F33" s="468"/>
      <c r="G33" s="469">
        <v>0.7</v>
      </c>
      <c r="H33" s="469"/>
      <c r="I33" s="469"/>
      <c r="J33" s="320">
        <f t="shared" si="0"/>
        <v>294.294</v>
      </c>
    </row>
    <row r="34" spans="1:10" ht="28.5" customHeight="1">
      <c r="A34" s="334" t="s">
        <v>80</v>
      </c>
      <c r="B34" s="294" t="s">
        <v>326</v>
      </c>
      <c r="C34" s="294" t="s">
        <v>6</v>
      </c>
      <c r="D34" s="468">
        <v>299.6</v>
      </c>
      <c r="E34" s="468"/>
      <c r="F34" s="468"/>
      <c r="G34" s="469">
        <f>1.5*1*0.05</f>
        <v>0.07500000000000001</v>
      </c>
      <c r="H34" s="469"/>
      <c r="I34" s="469"/>
      <c r="J34" s="320">
        <f>D34*G34</f>
        <v>22.470000000000006</v>
      </c>
    </row>
    <row r="35" spans="1:10" ht="28.5" customHeight="1">
      <c r="A35" s="334" t="s">
        <v>327</v>
      </c>
      <c r="B35" s="294" t="s">
        <v>328</v>
      </c>
      <c r="C35" s="294" t="s">
        <v>6</v>
      </c>
      <c r="D35" s="468">
        <v>80.65</v>
      </c>
      <c r="E35" s="468"/>
      <c r="F35" s="468"/>
      <c r="G35" s="468">
        <f>1.5*1*0.15</f>
        <v>0.22499999999999998</v>
      </c>
      <c r="H35" s="468"/>
      <c r="I35" s="468"/>
      <c r="J35" s="320">
        <f>D35*G35</f>
        <v>18.14625</v>
      </c>
    </row>
    <row r="36" spans="1:10" ht="45">
      <c r="A36" s="334" t="s">
        <v>234</v>
      </c>
      <c r="B36" s="294">
        <v>40312</v>
      </c>
      <c r="C36" s="294" t="s">
        <v>5</v>
      </c>
      <c r="D36" s="468">
        <v>60.85</v>
      </c>
      <c r="E36" s="468"/>
      <c r="F36" s="468"/>
      <c r="G36" s="469">
        <v>8.5</v>
      </c>
      <c r="H36" s="469"/>
      <c r="I36" s="469"/>
      <c r="J36" s="320">
        <f t="shared" si="0"/>
        <v>517.225</v>
      </c>
    </row>
    <row r="37" spans="1:10" ht="33.75">
      <c r="A37" s="334" t="s">
        <v>243</v>
      </c>
      <c r="B37" s="294">
        <v>40282</v>
      </c>
      <c r="C37" s="294" t="s">
        <v>6</v>
      </c>
      <c r="D37" s="468">
        <v>7.83</v>
      </c>
      <c r="E37" s="468"/>
      <c r="F37" s="468"/>
      <c r="G37" s="469">
        <f>1.6*1.2*1.5</f>
        <v>2.88</v>
      </c>
      <c r="H37" s="469"/>
      <c r="I37" s="469"/>
      <c r="J37" s="320">
        <f t="shared" si="0"/>
        <v>22.5504</v>
      </c>
    </row>
    <row r="38" spans="1:10" ht="33.75">
      <c r="A38" s="334" t="s">
        <v>239</v>
      </c>
      <c r="B38" s="294">
        <v>40312</v>
      </c>
      <c r="C38" s="294" t="s">
        <v>6</v>
      </c>
      <c r="D38" s="468">
        <v>8.61</v>
      </c>
      <c r="E38" s="468"/>
      <c r="F38" s="468"/>
      <c r="G38" s="469">
        <f>1.6*1.2*0.3</f>
        <v>0.576</v>
      </c>
      <c r="H38" s="469"/>
      <c r="I38" s="469"/>
      <c r="J38" s="320">
        <f t="shared" si="0"/>
        <v>4.959359999999999</v>
      </c>
    </row>
    <row r="39" spans="1:10" ht="33.75">
      <c r="A39" s="334" t="s">
        <v>240</v>
      </c>
      <c r="B39" s="294">
        <v>40303</v>
      </c>
      <c r="C39" s="294" t="s">
        <v>6</v>
      </c>
      <c r="D39" s="468">
        <v>25.21</v>
      </c>
      <c r="E39" s="468"/>
      <c r="F39" s="468"/>
      <c r="G39" s="469">
        <f>(G37+G38)-G33</f>
        <v>2.7560000000000002</v>
      </c>
      <c r="H39" s="469"/>
      <c r="I39" s="469"/>
      <c r="J39" s="320">
        <f t="shared" si="0"/>
        <v>69.47876000000001</v>
      </c>
    </row>
    <row r="40" spans="1:10" ht="12" thickBot="1">
      <c r="A40" s="461" t="s">
        <v>229</v>
      </c>
      <c r="B40" s="462"/>
      <c r="C40" s="462"/>
      <c r="D40" s="462"/>
      <c r="E40" s="462"/>
      <c r="F40" s="462"/>
      <c r="G40" s="462"/>
      <c r="H40" s="462"/>
      <c r="I40" s="463"/>
      <c r="J40" s="319">
        <f>SUM(J32:J39)</f>
        <v>1301.90277</v>
      </c>
    </row>
    <row r="41" spans="1:10" ht="12" thickBot="1">
      <c r="A41" s="470"/>
      <c r="B41" s="470"/>
      <c r="C41" s="470"/>
      <c r="D41" s="470"/>
      <c r="E41" s="470"/>
      <c r="F41" s="470"/>
      <c r="G41" s="470"/>
      <c r="H41" s="470"/>
      <c r="I41" s="470"/>
      <c r="J41" s="470"/>
    </row>
    <row r="42" spans="1:10" ht="22.5">
      <c r="A42" s="331" t="s">
        <v>223</v>
      </c>
      <c r="B42" s="311" t="s">
        <v>196</v>
      </c>
      <c r="C42" s="311" t="s">
        <v>218</v>
      </c>
      <c r="D42" s="312" t="s">
        <v>224</v>
      </c>
      <c r="E42" s="312" t="s">
        <v>225</v>
      </c>
      <c r="F42" s="312" t="s">
        <v>226</v>
      </c>
      <c r="G42" s="312" t="s">
        <v>227</v>
      </c>
      <c r="H42" s="329" t="s">
        <v>213</v>
      </c>
      <c r="I42" s="332" t="s">
        <v>207</v>
      </c>
      <c r="J42" s="333" t="s">
        <v>228</v>
      </c>
    </row>
    <row r="43" spans="1:10" ht="11.25">
      <c r="A43" s="330"/>
      <c r="B43" s="300"/>
      <c r="C43" s="300"/>
      <c r="D43" s="328"/>
      <c r="E43" s="301"/>
      <c r="F43" s="301"/>
      <c r="G43" s="301"/>
      <c r="H43" s="297"/>
      <c r="I43" s="349"/>
      <c r="J43" s="320"/>
    </row>
    <row r="44" spans="1:10" ht="12" thickBot="1">
      <c r="A44" s="461" t="s">
        <v>232</v>
      </c>
      <c r="B44" s="462"/>
      <c r="C44" s="462"/>
      <c r="D44" s="462"/>
      <c r="E44" s="462"/>
      <c r="F44" s="462"/>
      <c r="G44" s="462"/>
      <c r="H44" s="462"/>
      <c r="I44" s="463"/>
      <c r="J44" s="319">
        <f>J43</f>
        <v>0</v>
      </c>
    </row>
    <row r="45" spans="1:10" ht="12" thickBot="1">
      <c r="A45" s="321"/>
      <c r="B45" s="304"/>
      <c r="C45" s="304"/>
      <c r="D45" s="305"/>
      <c r="E45" s="306"/>
      <c r="F45" s="306"/>
      <c r="G45" s="306"/>
      <c r="H45" s="309"/>
      <c r="I45" s="310"/>
      <c r="J45" s="345"/>
    </row>
    <row r="46" spans="1:10" ht="11.25" customHeight="1">
      <c r="A46" s="321"/>
      <c r="B46" s="304"/>
      <c r="C46" s="304"/>
      <c r="D46" s="459" t="s">
        <v>230</v>
      </c>
      <c r="E46" s="460"/>
      <c r="F46" s="460"/>
      <c r="G46" s="460"/>
      <c r="H46" s="460"/>
      <c r="I46" s="460"/>
      <c r="J46" s="335">
        <f>J23+J29+J40+J44</f>
        <v>2760.5951699999996</v>
      </c>
    </row>
    <row r="47" spans="1:10" ht="11.25">
      <c r="A47" s="302"/>
      <c r="B47" s="303"/>
      <c r="C47" s="304"/>
      <c r="D47" s="464" t="s">
        <v>330</v>
      </c>
      <c r="E47" s="465"/>
      <c r="F47" s="465"/>
      <c r="G47" s="465"/>
      <c r="H47" s="465"/>
      <c r="I47" s="465"/>
      <c r="J47" s="336">
        <v>28.61</v>
      </c>
    </row>
    <row r="48" spans="1:11" ht="12" customHeight="1" thickBot="1">
      <c r="A48" s="302"/>
      <c r="B48" s="303"/>
      <c r="C48" s="303"/>
      <c r="D48" s="466" t="s">
        <v>231</v>
      </c>
      <c r="E48" s="467"/>
      <c r="F48" s="467"/>
      <c r="G48" s="467"/>
      <c r="H48" s="467"/>
      <c r="I48" s="467"/>
      <c r="J48" s="337">
        <f>J46*1.2861</f>
        <v>3550.4014481369995</v>
      </c>
      <c r="K48" s="378"/>
    </row>
    <row r="49" spans="1:10" ht="11.25">
      <c r="A49" s="302"/>
      <c r="B49" s="303"/>
      <c r="C49" s="303"/>
      <c r="D49" s="323"/>
      <c r="E49" s="322"/>
      <c r="F49" s="338"/>
      <c r="G49" s="338"/>
      <c r="H49" s="338"/>
      <c r="I49" s="338"/>
      <c r="J49" s="339"/>
    </row>
    <row r="50" spans="1:10" ht="15" customHeight="1">
      <c r="A50" s="302"/>
      <c r="B50" s="303"/>
      <c r="C50" s="303"/>
      <c r="D50" s="323"/>
      <c r="E50" s="322"/>
      <c r="F50" s="338"/>
      <c r="G50" s="338"/>
      <c r="H50" s="338"/>
      <c r="I50" s="338"/>
      <c r="J50" s="339"/>
    </row>
    <row r="51" spans="1:9" ht="11.25">
      <c r="A51" s="302"/>
      <c r="B51" s="308"/>
      <c r="C51" s="304"/>
      <c r="D51" s="324"/>
      <c r="E51" s="322"/>
      <c r="F51" s="304"/>
      <c r="G51" s="304"/>
      <c r="H51" s="309"/>
      <c r="I51" s="310"/>
    </row>
    <row r="52" spans="1:9" ht="11.25">
      <c r="A52" s="302"/>
      <c r="B52" s="325"/>
      <c r="C52" s="325"/>
      <c r="D52" s="326"/>
      <c r="E52" s="325"/>
      <c r="F52" s="325"/>
      <c r="G52" s="327"/>
      <c r="H52" s="309"/>
      <c r="I52" s="310"/>
    </row>
    <row r="53" spans="1:10" ht="11.25">
      <c r="A53" s="446" t="s">
        <v>48</v>
      </c>
      <c r="B53" s="446"/>
      <c r="C53" s="446"/>
      <c r="D53" s="446"/>
      <c r="E53" s="446"/>
      <c r="F53" s="446"/>
      <c r="G53" s="446"/>
      <c r="H53" s="446"/>
      <c r="I53" s="446"/>
      <c r="J53" s="446"/>
    </row>
    <row r="54" spans="1:10" ht="11.25">
      <c r="A54" s="446" t="s">
        <v>49</v>
      </c>
      <c r="B54" s="446"/>
      <c r="C54" s="446"/>
      <c r="D54" s="446"/>
      <c r="E54" s="446"/>
      <c r="F54" s="446"/>
      <c r="G54" s="446"/>
      <c r="H54" s="446"/>
      <c r="I54" s="446"/>
      <c r="J54" s="446"/>
    </row>
    <row r="55" spans="1:10" ht="11.25">
      <c r="A55" s="446" t="s">
        <v>50</v>
      </c>
      <c r="B55" s="446"/>
      <c r="C55" s="446"/>
      <c r="D55" s="446"/>
      <c r="E55" s="446"/>
      <c r="F55" s="446"/>
      <c r="G55" s="446"/>
      <c r="H55" s="446"/>
      <c r="I55" s="446"/>
      <c r="J55" s="446"/>
    </row>
  </sheetData>
  <sheetProtection/>
  <mergeCells count="75">
    <mergeCell ref="D32:F32"/>
    <mergeCell ref="D33:F33"/>
    <mergeCell ref="D36:F36"/>
    <mergeCell ref="G32:I32"/>
    <mergeCell ref="G33:I33"/>
    <mergeCell ref="G36:I36"/>
    <mergeCell ref="D34:F34"/>
    <mergeCell ref="G34:I34"/>
    <mergeCell ref="D35:F35"/>
    <mergeCell ref="G35:I35"/>
    <mergeCell ref="D28:F28"/>
    <mergeCell ref="G28:I28"/>
    <mergeCell ref="A1:J1"/>
    <mergeCell ref="A2:J2"/>
    <mergeCell ref="A3:C3"/>
    <mergeCell ref="D3:E3"/>
    <mergeCell ref="F3:G3"/>
    <mergeCell ref="H3:J3"/>
    <mergeCell ref="A4:C4"/>
    <mergeCell ref="D4:E4"/>
    <mergeCell ref="F4:G4"/>
    <mergeCell ref="H4:J4"/>
    <mergeCell ref="F6:G6"/>
    <mergeCell ref="H6:I6"/>
    <mergeCell ref="F7:G7"/>
    <mergeCell ref="H7:I7"/>
    <mergeCell ref="A8:I8"/>
    <mergeCell ref="A9:J9"/>
    <mergeCell ref="E10:F10"/>
    <mergeCell ref="G10:I10"/>
    <mergeCell ref="E11:F11"/>
    <mergeCell ref="G11:I11"/>
    <mergeCell ref="E13:F13"/>
    <mergeCell ref="G13:I13"/>
    <mergeCell ref="A15:I15"/>
    <mergeCell ref="A16:J16"/>
    <mergeCell ref="E17:F17"/>
    <mergeCell ref="G17:I17"/>
    <mergeCell ref="E14:F14"/>
    <mergeCell ref="G14:I14"/>
    <mergeCell ref="E18:F18"/>
    <mergeCell ref="G18:I18"/>
    <mergeCell ref="A19:I19"/>
    <mergeCell ref="A20:J20"/>
    <mergeCell ref="D25:F25"/>
    <mergeCell ref="G25:I25"/>
    <mergeCell ref="D22:I22"/>
    <mergeCell ref="D23:I23"/>
    <mergeCell ref="D37:F37"/>
    <mergeCell ref="G37:I37"/>
    <mergeCell ref="D38:F38"/>
    <mergeCell ref="G38:I38"/>
    <mergeCell ref="D27:F27"/>
    <mergeCell ref="G27:I27"/>
    <mergeCell ref="A29:I29"/>
    <mergeCell ref="A30:J30"/>
    <mergeCell ref="D31:F31"/>
    <mergeCell ref="G31:I31"/>
    <mergeCell ref="A54:J54"/>
    <mergeCell ref="D47:I47"/>
    <mergeCell ref="D48:I48"/>
    <mergeCell ref="D39:F39"/>
    <mergeCell ref="G39:I39"/>
    <mergeCell ref="A40:I40"/>
    <mergeCell ref="A41:J41"/>
    <mergeCell ref="A55:J55"/>
    <mergeCell ref="A5:J5"/>
    <mergeCell ref="E12:F12"/>
    <mergeCell ref="G12:I12"/>
    <mergeCell ref="D26:F26"/>
    <mergeCell ref="G26:I26"/>
    <mergeCell ref="D21:I21"/>
    <mergeCell ref="D46:I46"/>
    <mergeCell ref="A44:I44"/>
    <mergeCell ref="A53:J53"/>
  </mergeCells>
  <printOptions/>
  <pageMargins left="0.511811024" right="0.511811024" top="0.787401575" bottom="0.787401575" header="0.31496062" footer="0.31496062"/>
  <pageSetup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showGridLines="0" view="pageBreakPreview" zoomScale="85" zoomScaleSheetLayoutView="85" workbookViewId="0" topLeftCell="A13">
      <selection activeCell="A49" sqref="A49:H49"/>
    </sheetView>
  </sheetViews>
  <sheetFormatPr defaultColWidth="9.140625" defaultRowHeight="15"/>
  <cols>
    <col min="1" max="1" width="10.140625" style="2" customWidth="1"/>
    <col min="2" max="2" width="13.7109375" style="2" customWidth="1"/>
    <col min="3" max="3" width="16.14062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58" customWidth="1"/>
    <col min="8" max="8" width="18.140625" style="59" customWidth="1"/>
    <col min="9" max="9" width="26.7109375" style="17" customWidth="1"/>
    <col min="10" max="10" width="9.140625" style="5" customWidth="1"/>
    <col min="11" max="11" width="16.00390625" style="5" customWidth="1"/>
    <col min="12" max="12" width="9.140625" style="5" customWidth="1"/>
    <col min="13" max="13" width="9.57421875" style="5" bestFit="1" customWidth="1"/>
    <col min="14" max="16384" width="9.140625" style="5" customWidth="1"/>
  </cols>
  <sheetData>
    <row r="1" spans="1:8" ht="36" customHeight="1">
      <c r="A1" s="405" t="s">
        <v>34</v>
      </c>
      <c r="B1" s="406"/>
      <c r="C1" s="406"/>
      <c r="D1" s="406"/>
      <c r="E1" s="406"/>
      <c r="F1" s="406"/>
      <c r="G1" s="406"/>
      <c r="H1" s="407"/>
    </row>
    <row r="2" spans="1:8" ht="53.25" customHeight="1" thickBot="1">
      <c r="A2" s="408"/>
      <c r="B2" s="409"/>
      <c r="C2" s="409"/>
      <c r="D2" s="409"/>
      <c r="E2" s="409"/>
      <c r="F2" s="409"/>
      <c r="G2" s="409"/>
      <c r="H2" s="410"/>
    </row>
    <row r="3" spans="1:8" ht="21" customHeight="1">
      <c r="A3" s="411" t="s">
        <v>174</v>
      </c>
      <c r="B3" s="412"/>
      <c r="C3" s="412"/>
      <c r="D3" s="412"/>
      <c r="E3" s="412"/>
      <c r="F3" s="412"/>
      <c r="G3" s="412"/>
      <c r="H3" s="413"/>
    </row>
    <row r="4" spans="1:9" ht="18">
      <c r="A4" s="414" t="s">
        <v>181</v>
      </c>
      <c r="B4" s="415"/>
      <c r="C4" s="415"/>
      <c r="D4" s="415"/>
      <c r="E4" s="499" t="s">
        <v>75</v>
      </c>
      <c r="F4" s="499"/>
      <c r="G4" s="499"/>
      <c r="H4" s="500"/>
      <c r="I4"/>
    </row>
    <row r="5" spans="1:8" ht="18">
      <c r="A5" s="414"/>
      <c r="B5" s="415"/>
      <c r="C5" s="415"/>
      <c r="D5" s="415"/>
      <c r="E5" s="499" t="s">
        <v>27</v>
      </c>
      <c r="F5" s="499"/>
      <c r="G5" s="499"/>
      <c r="H5" s="500"/>
    </row>
    <row r="6" spans="1:10" ht="63.75" customHeight="1">
      <c r="A6" s="501" t="s">
        <v>28</v>
      </c>
      <c r="B6" s="502"/>
      <c r="C6" s="502"/>
      <c r="D6" s="502"/>
      <c r="E6" s="503" t="s">
        <v>74</v>
      </c>
      <c r="F6" s="503"/>
      <c r="G6" s="503"/>
      <c r="H6" s="504"/>
      <c r="J6"/>
    </row>
    <row r="7" spans="1:8" ht="60.75" customHeight="1">
      <c r="A7" s="508" t="s">
        <v>51</v>
      </c>
      <c r="B7" s="509"/>
      <c r="C7" s="509"/>
      <c r="D7" s="509"/>
      <c r="E7" s="510" t="s">
        <v>81</v>
      </c>
      <c r="F7" s="510"/>
      <c r="G7" s="510"/>
      <c r="H7" s="511"/>
    </row>
    <row r="8" spans="1:14" s="6" customFormat="1" ht="33" customHeight="1">
      <c r="A8" s="497" t="s">
        <v>169</v>
      </c>
      <c r="B8" s="498"/>
      <c r="C8" s="498"/>
      <c r="D8" s="152" t="s">
        <v>76</v>
      </c>
      <c r="E8" s="510"/>
      <c r="F8" s="510"/>
      <c r="G8" s="510"/>
      <c r="H8" s="511"/>
      <c r="I8" s="18"/>
      <c r="K8" s="5"/>
      <c r="L8" s="5"/>
      <c r="M8" s="5"/>
      <c r="N8" s="5"/>
    </row>
    <row r="9" spans="1:14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58" t="s">
        <v>3</v>
      </c>
      <c r="H9" s="159" t="s">
        <v>4</v>
      </c>
      <c r="I9" s="19"/>
      <c r="J9" s="285">
        <f>'Planilha Geral'!H4</f>
        <v>1.2861</v>
      </c>
      <c r="K9" s="1"/>
      <c r="L9" s="1"/>
      <c r="M9" s="1"/>
      <c r="N9" s="1"/>
    </row>
    <row r="10" spans="1:14" s="7" customFormat="1" ht="18">
      <c r="A10" s="40">
        <v>1</v>
      </c>
      <c r="B10" s="121"/>
      <c r="C10" s="122"/>
      <c r="D10" s="77" t="s">
        <v>18</v>
      </c>
      <c r="E10" s="121"/>
      <c r="F10" s="123"/>
      <c r="G10" s="124"/>
      <c r="H10" s="125"/>
      <c r="I10" s="19"/>
      <c r="K10" s="1"/>
      <c r="L10" s="1"/>
      <c r="M10" s="1"/>
      <c r="N10" s="1"/>
    </row>
    <row r="11" spans="1:11" s="10" customFormat="1" ht="18.75" thickBot="1">
      <c r="A11" s="390" t="s">
        <v>175</v>
      </c>
      <c r="B11" s="391"/>
      <c r="C11" s="391"/>
      <c r="D11" s="391"/>
      <c r="E11" s="391"/>
      <c r="F11" s="391"/>
      <c r="G11" s="282"/>
      <c r="H11" s="109"/>
      <c r="I11" s="67" t="e">
        <f>I3+#REF!+#REF!+#REF!+#REF!+#REF!+I8</f>
        <v>#REF!</v>
      </c>
      <c r="K11" s="11"/>
    </row>
    <row r="12" spans="1:11" s="10" customFormat="1" ht="18">
      <c r="A12" s="133"/>
      <c r="B12" s="44"/>
      <c r="C12" s="44"/>
      <c r="D12" s="44"/>
      <c r="E12" s="44"/>
      <c r="F12" s="44"/>
      <c r="G12" s="44"/>
      <c r="H12" s="106"/>
      <c r="I12" s="21"/>
      <c r="K12" s="11"/>
    </row>
    <row r="13" spans="1:14" s="7" customFormat="1" ht="18">
      <c r="A13" s="40">
        <v>2</v>
      </c>
      <c r="B13" s="121"/>
      <c r="C13" s="122"/>
      <c r="D13" s="77" t="s">
        <v>16</v>
      </c>
      <c r="E13" s="121"/>
      <c r="F13" s="123"/>
      <c r="G13" s="124"/>
      <c r="H13" s="125"/>
      <c r="I13" s="19"/>
      <c r="K13" s="1"/>
      <c r="L13" s="1"/>
      <c r="M13" s="1"/>
      <c r="N13" s="1"/>
    </row>
    <row r="14" spans="1:14" s="7" customFormat="1" ht="36">
      <c r="A14" s="37" t="s">
        <v>12</v>
      </c>
      <c r="B14" s="38" t="s">
        <v>20</v>
      </c>
      <c r="C14" s="39" t="s">
        <v>46</v>
      </c>
      <c r="D14" s="26" t="s">
        <v>35</v>
      </c>
      <c r="E14" s="25" t="s">
        <v>6</v>
      </c>
      <c r="F14" s="50"/>
      <c r="G14" s="50" t="s">
        <v>52</v>
      </c>
      <c r="H14" s="107"/>
      <c r="I14" s="19" t="e">
        <f>#REF!+#REF!+#REF!+#REF!++#REF!+#REF!+#REF!+#REF!+#REF!+#REF!+#REF!+#REF!+#REF!+#REF!</f>
        <v>#REF!</v>
      </c>
      <c r="J14" s="15"/>
      <c r="K14" s="15" t="e">
        <f>#REF!+#REF!+#REF!+#REF!+#REF!+#REF!+#REF!+#REF!+#REF!+#REF!+#REF!+#REF!+#REF!+#REF!</f>
        <v>#REF!</v>
      </c>
      <c r="L14" s="1"/>
      <c r="M14" s="16" t="e">
        <f>H14-I14</f>
        <v>#REF!</v>
      </c>
      <c r="N14" s="1"/>
    </row>
    <row r="15" spans="1:14" s="7" customFormat="1" ht="18">
      <c r="A15" s="37" t="s">
        <v>13</v>
      </c>
      <c r="B15" s="38" t="s">
        <v>20</v>
      </c>
      <c r="C15" s="39" t="s">
        <v>47</v>
      </c>
      <c r="D15" s="26" t="s">
        <v>29</v>
      </c>
      <c r="E15" s="25" t="s">
        <v>6</v>
      </c>
      <c r="F15" s="50"/>
      <c r="G15" s="50" t="s">
        <v>52</v>
      </c>
      <c r="H15" s="107"/>
      <c r="I15" s="19" t="e">
        <f>#REF!+#REF!+#REF!+#REF!++#REF!+#REF!+#REF!+#REF!+#REF!+#REF!+#REF!+#REF!+#REF!+#REF!</f>
        <v>#REF!</v>
      </c>
      <c r="K15" s="15" t="e">
        <f>#REF!+#REF!+#REF!+#REF!+#REF!+#REF!+#REF!+#REF!+#REF!+#REF!+#REF!+#REF!+#REF!+#REF!</f>
        <v>#REF!</v>
      </c>
      <c r="L15" s="1"/>
      <c r="M15" s="16" t="e">
        <f>H15-I15</f>
        <v>#REF!</v>
      </c>
      <c r="N15" s="1"/>
    </row>
    <row r="16" spans="1:14" s="101" customFormat="1" ht="72">
      <c r="A16" s="98" t="s">
        <v>14</v>
      </c>
      <c r="B16" s="91" t="s">
        <v>57</v>
      </c>
      <c r="C16" s="96" t="s">
        <v>58</v>
      </c>
      <c r="D16" s="102" t="s">
        <v>30</v>
      </c>
      <c r="E16" s="97" t="s">
        <v>6</v>
      </c>
      <c r="F16" s="92"/>
      <c r="G16" s="92" t="s">
        <v>52</v>
      </c>
      <c r="H16" s="110"/>
      <c r="I16" s="93" t="e">
        <f>#REF!+#REF!+#REF!+#REF!++#REF!+#REF!+#REF!+#REF!+#REF!+#REF!+#REF!+#REF!+#REF!+#REF!</f>
        <v>#REF!</v>
      </c>
      <c r="K16" s="99" t="e">
        <f>#REF!+#REF!+#REF!+#REF!+#REF!+#REF!+#REF!+#REF!+#REF!+#REF!+#REF!+#REF!+#REF!+#REF!</f>
        <v>#REF!</v>
      </c>
      <c r="L16" s="100"/>
      <c r="M16" s="94" t="e">
        <f>H16-I16</f>
        <v>#REF!</v>
      </c>
      <c r="N16" s="100"/>
    </row>
    <row r="17" spans="1:14" s="7" customFormat="1" ht="36">
      <c r="A17" s="37" t="s">
        <v>15</v>
      </c>
      <c r="B17" s="38" t="s">
        <v>19</v>
      </c>
      <c r="C17" s="43" t="s">
        <v>39</v>
      </c>
      <c r="D17" s="27" t="s">
        <v>21</v>
      </c>
      <c r="E17" s="25" t="s">
        <v>5</v>
      </c>
      <c r="F17" s="50"/>
      <c r="G17" s="50" t="s">
        <v>52</v>
      </c>
      <c r="H17" s="107"/>
      <c r="I17" s="19"/>
      <c r="K17" s="15"/>
      <c r="L17" s="1"/>
      <c r="M17" s="16"/>
      <c r="N17" s="1"/>
    </row>
    <row r="18" spans="1:14" s="7" customFormat="1" ht="18">
      <c r="A18" s="388" t="s">
        <v>8</v>
      </c>
      <c r="B18" s="389"/>
      <c r="C18" s="389"/>
      <c r="D18" s="389"/>
      <c r="E18" s="389"/>
      <c r="F18" s="389"/>
      <c r="G18" s="283"/>
      <c r="H18" s="108">
        <f>SUM(H13:H17)</f>
        <v>0</v>
      </c>
      <c r="I18" s="64" t="e">
        <f>SUM(I13:I16)</f>
        <v>#REF!</v>
      </c>
      <c r="K18" s="1"/>
      <c r="L18" s="1"/>
      <c r="M18" s="16" t="e">
        <f>H18-I18</f>
        <v>#REF!</v>
      </c>
      <c r="N18" s="1"/>
    </row>
    <row r="19" spans="1:11" s="10" customFormat="1" ht="18.75" thickBot="1">
      <c r="A19" s="390" t="s">
        <v>176</v>
      </c>
      <c r="B19" s="391"/>
      <c r="C19" s="391"/>
      <c r="D19" s="391"/>
      <c r="E19" s="391"/>
      <c r="F19" s="391"/>
      <c r="G19" s="282"/>
      <c r="H19" s="109">
        <f>H18</f>
        <v>0</v>
      </c>
      <c r="I19" s="67" t="e">
        <f>I10+#REF!+#REF!+#REF!+#REF!+#REF!+I13</f>
        <v>#REF!</v>
      </c>
      <c r="K19" s="11"/>
    </row>
    <row r="20" spans="1:11" s="10" customFormat="1" ht="18">
      <c r="A20" s="133"/>
      <c r="B20" s="44"/>
      <c r="C20" s="44"/>
      <c r="D20" s="44"/>
      <c r="E20" s="44"/>
      <c r="F20" s="44"/>
      <c r="G20" s="44"/>
      <c r="H20" s="106"/>
      <c r="I20" s="21"/>
      <c r="K20" s="11"/>
    </row>
    <row r="21" spans="1:13" s="4" customFormat="1" ht="18">
      <c r="A21" s="40">
        <v>3</v>
      </c>
      <c r="B21" s="121"/>
      <c r="C21" s="122"/>
      <c r="D21" s="77" t="s">
        <v>11</v>
      </c>
      <c r="E21" s="121"/>
      <c r="F21" s="123"/>
      <c r="G21" s="123"/>
      <c r="H21" s="125"/>
      <c r="I21" s="19"/>
      <c r="K21" s="22"/>
      <c r="M21" s="16">
        <f>H21-I21</f>
        <v>0</v>
      </c>
    </row>
    <row r="22" spans="1:9" s="9" customFormat="1" ht="18">
      <c r="A22" s="126" t="s">
        <v>17</v>
      </c>
      <c r="B22" s="127"/>
      <c r="C22" s="128"/>
      <c r="D22" s="28" t="s">
        <v>11</v>
      </c>
      <c r="E22" s="129"/>
      <c r="F22" s="130"/>
      <c r="G22" s="131"/>
      <c r="H22" s="132"/>
      <c r="I22" s="19"/>
    </row>
    <row r="23" spans="1:11" ht="54">
      <c r="A23" s="41" t="s">
        <v>31</v>
      </c>
      <c r="B23" s="91" t="s">
        <v>57</v>
      </c>
      <c r="C23" s="96" t="s">
        <v>317</v>
      </c>
      <c r="D23" s="367" t="s">
        <v>318</v>
      </c>
      <c r="E23" s="97" t="s">
        <v>0</v>
      </c>
      <c r="F23" s="50">
        <v>294.22</v>
      </c>
      <c r="G23" s="50">
        <f>'Planilha Geral'!G28</f>
        <v>32.846994</v>
      </c>
      <c r="H23" s="107">
        <f>F23*G23</f>
        <v>9664.242574680002</v>
      </c>
      <c r="I23" s="19"/>
      <c r="K23" s="15"/>
    </row>
    <row r="24" spans="1:11" ht="36">
      <c r="A24" s="41" t="s">
        <v>300</v>
      </c>
      <c r="B24" s="38" t="s">
        <v>19</v>
      </c>
      <c r="C24" s="39" t="s">
        <v>36</v>
      </c>
      <c r="D24" s="33" t="s">
        <v>37</v>
      </c>
      <c r="E24" s="25" t="s">
        <v>0</v>
      </c>
      <c r="F24" s="50">
        <v>31.86</v>
      </c>
      <c r="G24" s="50">
        <f>'Planilha Geral'!G29</f>
        <v>327.52</v>
      </c>
      <c r="H24" s="107">
        <f>F24*G24</f>
        <v>10434.787199999999</v>
      </c>
      <c r="I24" s="19" t="e">
        <f>#REF!+#REF!+#REF!+#REF!+#REF!+#REF!+#REF!+#REF!+#REF!+#REF!+#REF!+#REF!+#REF!+#REF!</f>
        <v>#REF!</v>
      </c>
      <c r="K24" s="15" t="e">
        <f>#REF!+#REF!+#REF!+#REF!+#REF!+#REF!+#REF!+#REF!+#REF!+#REF!+#REF!+#REF!+#REF!+#REF!</f>
        <v>#REF!</v>
      </c>
    </row>
    <row r="25" spans="1:11" ht="72">
      <c r="A25" s="95" t="s">
        <v>301</v>
      </c>
      <c r="B25" s="38" t="s">
        <v>57</v>
      </c>
      <c r="C25" s="39" t="s">
        <v>77</v>
      </c>
      <c r="D25" s="33" t="s">
        <v>78</v>
      </c>
      <c r="E25" s="25" t="s">
        <v>6</v>
      </c>
      <c r="F25" s="50">
        <v>4.9799999999999995</v>
      </c>
      <c r="G25" s="50">
        <f>'Planilha Geral'!G30</f>
        <v>463.433274</v>
      </c>
      <c r="H25" s="107">
        <f>F25*G25</f>
        <v>2307.8977045199995</v>
      </c>
      <c r="I25" s="19"/>
      <c r="K25" s="15"/>
    </row>
    <row r="26" spans="1:11" ht="36">
      <c r="A26" s="95" t="s">
        <v>302</v>
      </c>
      <c r="B26" s="91" t="s">
        <v>19</v>
      </c>
      <c r="C26" s="96" t="s">
        <v>324</v>
      </c>
      <c r="D26" s="367" t="s">
        <v>322</v>
      </c>
      <c r="E26" s="97" t="s">
        <v>323</v>
      </c>
      <c r="F26" s="50">
        <v>5.56</v>
      </c>
      <c r="G26" s="50">
        <f>'Planilha Geral'!G31</f>
        <v>220.71</v>
      </c>
      <c r="H26" s="107">
        <f>F26*G26</f>
        <v>1227.1476</v>
      </c>
      <c r="I26" s="19"/>
      <c r="K26" s="15"/>
    </row>
    <row r="27" spans="1:11" ht="18">
      <c r="A27" s="95" t="s">
        <v>303</v>
      </c>
      <c r="B27" s="38" t="s">
        <v>57</v>
      </c>
      <c r="C27" s="39" t="s">
        <v>79</v>
      </c>
      <c r="D27" s="33" t="s">
        <v>80</v>
      </c>
      <c r="E27" s="25" t="s">
        <v>6</v>
      </c>
      <c r="F27" s="50">
        <v>21.9336</v>
      </c>
      <c r="G27" s="50">
        <f>'Planilha Geral'!G32</f>
        <v>385.31556000000006</v>
      </c>
      <c r="H27" s="107">
        <f>F27*G27</f>
        <v>8451.357366816</v>
      </c>
      <c r="I27" s="19"/>
      <c r="K27" s="15"/>
    </row>
    <row r="28" spans="1:9" ht="18">
      <c r="A28" s="388" t="s">
        <v>8</v>
      </c>
      <c r="B28" s="389"/>
      <c r="C28" s="389"/>
      <c r="D28" s="389"/>
      <c r="E28" s="389"/>
      <c r="F28" s="389"/>
      <c r="G28" s="283"/>
      <c r="H28" s="108">
        <f>SUM(H23:H27)</f>
        <v>32085.432446016</v>
      </c>
      <c r="I28" s="66" t="e">
        <f>SUM(I23:I24)</f>
        <v>#REF!</v>
      </c>
    </row>
    <row r="29" spans="1:9" s="90" customFormat="1" ht="18">
      <c r="A29" s="87"/>
      <c r="B29" s="88"/>
      <c r="C29" s="88"/>
      <c r="D29" s="88"/>
      <c r="E29" s="88"/>
      <c r="F29" s="88"/>
      <c r="G29" s="88"/>
      <c r="H29" s="112"/>
      <c r="I29" s="89"/>
    </row>
    <row r="30" spans="1:9" s="9" customFormat="1" ht="18">
      <c r="A30" s="126" t="s">
        <v>63</v>
      </c>
      <c r="B30" s="127"/>
      <c r="C30" s="128"/>
      <c r="D30" s="28" t="s">
        <v>56</v>
      </c>
      <c r="E30" s="129"/>
      <c r="F30" s="130"/>
      <c r="G30" s="131"/>
      <c r="H30" s="132"/>
      <c r="I30" s="19"/>
    </row>
    <row r="31" spans="1:9" s="9" customFormat="1" ht="54">
      <c r="A31" s="41" t="s">
        <v>64</v>
      </c>
      <c r="B31" s="38" t="s">
        <v>259</v>
      </c>
      <c r="C31" s="39"/>
      <c r="D31" s="142" t="s">
        <v>258</v>
      </c>
      <c r="E31" s="25" t="s">
        <v>0</v>
      </c>
      <c r="F31" s="92">
        <v>21.18</v>
      </c>
      <c r="G31" s="50">
        <f>'Planilha Geral'!G39</f>
        <v>3550.4014481369995</v>
      </c>
      <c r="H31" s="107">
        <f>F31*G31</f>
        <v>75197.50267154165</v>
      </c>
      <c r="I31" s="19"/>
    </row>
    <row r="32" spans="1:9" ht="18">
      <c r="A32" s="388" t="s">
        <v>8</v>
      </c>
      <c r="B32" s="389"/>
      <c r="C32" s="389"/>
      <c r="D32" s="389"/>
      <c r="E32" s="389"/>
      <c r="F32" s="389"/>
      <c r="G32" s="283"/>
      <c r="H32" s="108">
        <f>SUM(H31:H31)</f>
        <v>75197.50267154165</v>
      </c>
      <c r="I32" s="66" t="e">
        <f>SUM(#REF!)</f>
        <v>#REF!</v>
      </c>
    </row>
    <row r="33" spans="1:11" s="10" customFormat="1" ht="18.75" thickBot="1">
      <c r="A33" s="390" t="s">
        <v>170</v>
      </c>
      <c r="B33" s="391"/>
      <c r="C33" s="391"/>
      <c r="D33" s="391"/>
      <c r="E33" s="391"/>
      <c r="F33" s="391"/>
      <c r="G33" s="282"/>
      <c r="H33" s="109">
        <f>H32+H28</f>
        <v>107282.93511755764</v>
      </c>
      <c r="I33" s="67" t="e">
        <f>#REF!+#REF!+#REF!+#REF!+#REF!+#REF!+I28</f>
        <v>#REF!</v>
      </c>
      <c r="K33" s="11"/>
    </row>
    <row r="34" spans="1:11" s="10" customFormat="1" ht="18">
      <c r="A34" s="81"/>
      <c r="B34" s="74"/>
      <c r="C34" s="75"/>
      <c r="D34" s="74"/>
      <c r="E34" s="74"/>
      <c r="F34" s="76"/>
      <c r="G34" s="76"/>
      <c r="H34" s="113"/>
      <c r="I34" s="21"/>
      <c r="K34" s="11"/>
    </row>
    <row r="35" spans="1:9" s="9" customFormat="1" ht="18">
      <c r="A35" s="82">
        <v>4</v>
      </c>
      <c r="B35" s="29"/>
      <c r="C35" s="30"/>
      <c r="D35" s="77" t="s">
        <v>9</v>
      </c>
      <c r="E35" s="31"/>
      <c r="F35" s="48"/>
      <c r="G35" s="49"/>
      <c r="H35" s="60"/>
      <c r="I35" s="19"/>
    </row>
    <row r="36" spans="1:11" s="4" customFormat="1" ht="36" hidden="1">
      <c r="A36" s="41" t="s">
        <v>24</v>
      </c>
      <c r="B36" s="38" t="s">
        <v>19</v>
      </c>
      <c r="C36" s="43">
        <v>40752</v>
      </c>
      <c r="D36" s="27" t="s">
        <v>21</v>
      </c>
      <c r="E36" s="25" t="s">
        <v>5</v>
      </c>
      <c r="F36" s="50" t="e">
        <f>#REF!</f>
        <v>#REF!</v>
      </c>
      <c r="G36" s="50"/>
      <c r="H36" s="107" t="e">
        <f>TRUNC(F36*#REF!,2)</f>
        <v>#REF!</v>
      </c>
      <c r="I36" s="19" t="e">
        <f>#REF!+#REF!+#REF!+#REF!+#REF!+#REF!+#REF!+#REF!+#REF!+#REF!+#REF!+#REF!+#REF!+#REF!+#REF!</f>
        <v>#REF!</v>
      </c>
      <c r="K36" s="15" t="e">
        <f>#REF!+#REF!+#REF!+#REF!+#REF!+#REF!+#REF!+#REF!+#REF!+#REF!+#REF!+#REF!+#REF!+#REF!</f>
        <v>#REF!</v>
      </c>
    </row>
    <row r="37" spans="1:13" s="4" customFormat="1" ht="54">
      <c r="A37" s="41" t="s">
        <v>24</v>
      </c>
      <c r="B37" s="371" t="s">
        <v>57</v>
      </c>
      <c r="C37" s="372" t="s">
        <v>313</v>
      </c>
      <c r="D37" s="373" t="s">
        <v>314</v>
      </c>
      <c r="E37" s="97" t="s">
        <v>5</v>
      </c>
      <c r="F37" s="50">
        <v>2680.25</v>
      </c>
      <c r="G37" s="223">
        <f>'Planilha Geral'!G44</f>
        <v>54.080504999999995</v>
      </c>
      <c r="H37" s="107">
        <f>F37*G37</f>
        <v>144949.27352624998</v>
      </c>
      <c r="I37" s="19" t="e">
        <f>#REF!+#REF!+#REF!+#REF!+#REF!+#REF!+#REF!+#REF!+#REF!+#REF!+#REF!+#REF!+#REF!+#REF!+#REF!</f>
        <v>#REF!</v>
      </c>
      <c r="K37" s="15" t="e">
        <f>#REF!+#REF!+#REF!+#REF!+#REF!+#REF!+#REF!+#REF!+#REF!+#REF!+#REF!+#REF!+#REF!+#REF!</f>
        <v>#REF!</v>
      </c>
      <c r="M37" s="22" t="e">
        <f>#REF!-#REF!</f>
        <v>#REF!</v>
      </c>
    </row>
    <row r="38" spans="1:11" s="4" customFormat="1" ht="72">
      <c r="A38" s="41" t="s">
        <v>41</v>
      </c>
      <c r="B38" s="42" t="s">
        <v>57</v>
      </c>
      <c r="C38" s="43" t="s">
        <v>59</v>
      </c>
      <c r="D38" s="27" t="s">
        <v>171</v>
      </c>
      <c r="E38" s="25" t="s">
        <v>0</v>
      </c>
      <c r="F38" s="50">
        <v>453.56</v>
      </c>
      <c r="G38" s="50">
        <f>'Planilha Geral'!G45</f>
        <v>24.30729</v>
      </c>
      <c r="H38" s="107">
        <f>F38*G38</f>
        <v>11024.8144524</v>
      </c>
      <c r="I38" s="19" t="e">
        <f>#REF!+#REF!+#REF!+#REF!+#REF!+#REF!+#REF!+#REF!+#REF!+#REF!+#REF!+#REF!+#REF!+#REF!+#REF!</f>
        <v>#REF!</v>
      </c>
      <c r="K38" s="15" t="e">
        <f>#REF!+#REF!+#REF!+#REF!+#REF!+#REF!+#REF!+#REF!+#REF!+#REF!+#REF!+#REF!+#REF!+#REF!</f>
        <v>#REF!</v>
      </c>
    </row>
    <row r="39" spans="1:11" s="4" customFormat="1" ht="90">
      <c r="A39" s="41" t="s">
        <v>25</v>
      </c>
      <c r="B39" s="42" t="s">
        <v>57</v>
      </c>
      <c r="C39" s="43" t="s">
        <v>72</v>
      </c>
      <c r="D39" s="27" t="s">
        <v>73</v>
      </c>
      <c r="E39" s="25" t="s">
        <v>5</v>
      </c>
      <c r="F39" s="50">
        <v>416.37</v>
      </c>
      <c r="G39" s="50">
        <f>'Planilha Geral'!G46</f>
        <v>43.122933</v>
      </c>
      <c r="H39" s="107">
        <f>F39*G39</f>
        <v>17955.09561321</v>
      </c>
      <c r="I39" s="19"/>
      <c r="K39" s="15"/>
    </row>
    <row r="40" spans="1:9" s="4" customFormat="1" ht="18">
      <c r="A40" s="388" t="s">
        <v>8</v>
      </c>
      <c r="B40" s="389"/>
      <c r="C40" s="389"/>
      <c r="D40" s="389"/>
      <c r="E40" s="389"/>
      <c r="F40" s="389"/>
      <c r="G40" s="283"/>
      <c r="H40" s="108">
        <f>SUM(H37:H39)</f>
        <v>173929.18359185997</v>
      </c>
      <c r="I40" s="65" t="e">
        <f>SUM(I36:I38)</f>
        <v>#REF!</v>
      </c>
    </row>
    <row r="41" spans="1:11" ht="18">
      <c r="A41" s="390" t="s">
        <v>172</v>
      </c>
      <c r="B41" s="391"/>
      <c r="C41" s="391"/>
      <c r="D41" s="391"/>
      <c r="E41" s="391"/>
      <c r="F41" s="391"/>
      <c r="G41" s="282"/>
      <c r="H41" s="109">
        <f>H40</f>
        <v>173929.18359185997</v>
      </c>
      <c r="I41" s="68" t="e">
        <f>SUM(I36:I38)</f>
        <v>#REF!</v>
      </c>
      <c r="K41" s="12"/>
    </row>
    <row r="42" spans="1:11" ht="18">
      <c r="A42" s="83"/>
      <c r="B42" s="78"/>
      <c r="C42" s="78"/>
      <c r="D42" s="78"/>
      <c r="E42" s="42"/>
      <c r="F42" s="50"/>
      <c r="G42" s="70"/>
      <c r="H42" s="106"/>
      <c r="I42" s="69"/>
      <c r="K42" s="12"/>
    </row>
    <row r="43" spans="1:11" ht="18">
      <c r="A43" s="82" t="s">
        <v>66</v>
      </c>
      <c r="B43" s="29"/>
      <c r="C43" s="30"/>
      <c r="D43" s="77" t="s">
        <v>38</v>
      </c>
      <c r="E43" s="31"/>
      <c r="F43" s="48"/>
      <c r="G43" s="49"/>
      <c r="H43" s="60"/>
      <c r="I43" s="69"/>
      <c r="K43" s="12"/>
    </row>
    <row r="44" spans="1:11" ht="36">
      <c r="A44" s="41" t="s">
        <v>67</v>
      </c>
      <c r="B44" s="38" t="s">
        <v>19</v>
      </c>
      <c r="C44" s="43" t="s">
        <v>54</v>
      </c>
      <c r="D44" s="27" t="s">
        <v>53</v>
      </c>
      <c r="E44" s="25" t="s">
        <v>5</v>
      </c>
      <c r="F44" s="50">
        <v>1.1304</v>
      </c>
      <c r="G44" s="223">
        <f>'Planilha Geral'!G54</f>
        <v>401.26</v>
      </c>
      <c r="H44" s="107">
        <f>F44*G44</f>
        <v>453.58430400000003</v>
      </c>
      <c r="I44" s="69"/>
      <c r="K44" s="12"/>
    </row>
    <row r="45" spans="1:11" ht="18">
      <c r="A45" s="388" t="s">
        <v>8</v>
      </c>
      <c r="B45" s="389"/>
      <c r="C45" s="389"/>
      <c r="D45" s="389"/>
      <c r="E45" s="389"/>
      <c r="F45" s="389"/>
      <c r="G45" s="283"/>
      <c r="H45" s="108">
        <f>SUM(H44:H44)</f>
        <v>453.58430400000003</v>
      </c>
      <c r="I45" s="69"/>
      <c r="K45" s="12"/>
    </row>
    <row r="46" spans="1:11" ht="18">
      <c r="A46" s="390" t="s">
        <v>173</v>
      </c>
      <c r="B46" s="391"/>
      <c r="C46" s="391"/>
      <c r="D46" s="391"/>
      <c r="E46" s="391"/>
      <c r="F46" s="391"/>
      <c r="G46" s="282"/>
      <c r="H46" s="109">
        <f>H45</f>
        <v>453.58430400000003</v>
      </c>
      <c r="I46" s="69"/>
      <c r="K46" s="12"/>
    </row>
    <row r="47" spans="1:11" ht="18">
      <c r="A47" s="81"/>
      <c r="B47" s="74"/>
      <c r="C47" s="74"/>
      <c r="D47" s="74"/>
      <c r="E47" s="74"/>
      <c r="F47" s="76"/>
      <c r="G47" s="76"/>
      <c r="H47" s="113"/>
      <c r="I47" s="69"/>
      <c r="K47" s="12"/>
    </row>
    <row r="48" spans="1:11" ht="18.75" thickBot="1">
      <c r="A48" s="392" t="s">
        <v>10</v>
      </c>
      <c r="B48" s="393"/>
      <c r="C48" s="393"/>
      <c r="D48" s="393"/>
      <c r="E48" s="393"/>
      <c r="F48" s="393"/>
      <c r="G48" s="284"/>
      <c r="H48" s="225">
        <f>H46+H41+H33+H19+H11-1.5</f>
        <v>281664.2030134176</v>
      </c>
      <c r="I48" s="105" t="e">
        <f>#REF!+I33+I41+#REF!</f>
        <v>#REF!</v>
      </c>
      <c r="K48" s="13"/>
    </row>
    <row r="49" spans="1:8" ht="18" customHeight="1">
      <c r="A49" s="379"/>
      <c r="B49" s="380"/>
      <c r="C49" s="380"/>
      <c r="D49" s="380"/>
      <c r="E49" s="380"/>
      <c r="F49" s="380"/>
      <c r="G49" s="380"/>
      <c r="H49" s="381"/>
    </row>
    <row r="50" spans="1:8" ht="18" customHeight="1">
      <c r="A50" s="382" t="s">
        <v>48</v>
      </c>
      <c r="B50" s="383"/>
      <c r="C50" s="383"/>
      <c r="D50" s="383"/>
      <c r="E50" s="383"/>
      <c r="F50" s="383"/>
      <c r="G50" s="383"/>
      <c r="H50" s="384"/>
    </row>
    <row r="51" spans="1:8" ht="15.75" customHeight="1">
      <c r="A51" s="385" t="s">
        <v>49</v>
      </c>
      <c r="B51" s="386"/>
      <c r="C51" s="386"/>
      <c r="D51" s="386"/>
      <c r="E51" s="386"/>
      <c r="F51" s="386"/>
      <c r="G51" s="386"/>
      <c r="H51" s="387"/>
    </row>
    <row r="52" spans="1:8" ht="18" customHeight="1" thickBot="1">
      <c r="A52" s="505" t="s">
        <v>50</v>
      </c>
      <c r="B52" s="506"/>
      <c r="C52" s="506"/>
      <c r="D52" s="506"/>
      <c r="E52" s="506"/>
      <c r="F52" s="506"/>
      <c r="G52" s="506"/>
      <c r="H52" s="507"/>
    </row>
    <row r="53" spans="1:8" ht="18">
      <c r="A53" s="36"/>
      <c r="B53" s="36"/>
      <c r="C53" s="34"/>
      <c r="D53" s="45"/>
      <c r="E53" s="35"/>
      <c r="F53" s="51"/>
      <c r="G53" s="52"/>
      <c r="H53" s="53"/>
    </row>
    <row r="54" spans="1:8" ht="15">
      <c r="A54" s="14"/>
      <c r="B54" s="20"/>
      <c r="C54" s="23"/>
      <c r="D54" s="46"/>
      <c r="E54" s="8"/>
      <c r="F54" s="54"/>
      <c r="G54" s="55"/>
      <c r="H54" s="56"/>
    </row>
  </sheetData>
  <sheetProtection/>
  <mergeCells count="25">
    <mergeCell ref="A41:F41"/>
    <mergeCell ref="A32:F32"/>
    <mergeCell ref="A7:D7"/>
    <mergeCell ref="A18:F18"/>
    <mergeCell ref="E7:H8"/>
    <mergeCell ref="A40:F40"/>
    <mergeCell ref="A28:F28"/>
    <mergeCell ref="A33:F33"/>
    <mergeCell ref="A11:F11"/>
    <mergeCell ref="A19:F19"/>
    <mergeCell ref="A51:H51"/>
    <mergeCell ref="A45:F45"/>
    <mergeCell ref="A46:F46"/>
    <mergeCell ref="A52:H52"/>
    <mergeCell ref="A48:F48"/>
    <mergeCell ref="A49:H49"/>
    <mergeCell ref="A50:H50"/>
    <mergeCell ref="A8:C8"/>
    <mergeCell ref="E5:H5"/>
    <mergeCell ref="A6:D6"/>
    <mergeCell ref="E6:H6"/>
    <mergeCell ref="A1:H2"/>
    <mergeCell ref="A3:H3"/>
    <mergeCell ref="E4:H4"/>
    <mergeCell ref="A4:D5"/>
  </mergeCells>
  <printOptions horizontalCentered="1"/>
  <pageMargins left="0.31496062992125984" right="0.1968503937007874" top="0.4330708661417323" bottom="0.35433070866141736" header="0.11811023622047245" footer="0.11811023622047245"/>
  <pageSetup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60" zoomScalePageLayoutView="0" workbookViewId="0" topLeftCell="A13">
      <selection activeCell="F23" sqref="F23"/>
    </sheetView>
  </sheetViews>
  <sheetFormatPr defaultColWidth="9.140625" defaultRowHeight="15"/>
  <cols>
    <col min="1" max="1" width="10.140625" style="2" customWidth="1"/>
    <col min="2" max="2" width="13.140625" style="2" customWidth="1"/>
    <col min="3" max="3" width="16.14062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58" customWidth="1"/>
    <col min="8" max="8" width="17.28125" style="59" customWidth="1"/>
    <col min="9" max="16384" width="9.140625" style="5" customWidth="1"/>
  </cols>
  <sheetData>
    <row r="1" spans="1:8" ht="36" customHeight="1">
      <c r="A1" s="512" t="s">
        <v>34</v>
      </c>
      <c r="B1" s="513"/>
      <c r="C1" s="513"/>
      <c r="D1" s="513"/>
      <c r="E1" s="513"/>
      <c r="F1" s="513"/>
      <c r="G1" s="513"/>
      <c r="H1" s="514"/>
    </row>
    <row r="2" spans="1:8" ht="53.25" customHeight="1" thickBot="1">
      <c r="A2" s="515"/>
      <c r="B2" s="516"/>
      <c r="C2" s="516"/>
      <c r="D2" s="516"/>
      <c r="E2" s="516"/>
      <c r="F2" s="516"/>
      <c r="G2" s="516"/>
      <c r="H2" s="517"/>
    </row>
    <row r="3" spans="1:8" ht="21" customHeight="1">
      <c r="A3" s="411" t="s">
        <v>55</v>
      </c>
      <c r="B3" s="412"/>
      <c r="C3" s="412"/>
      <c r="D3" s="412"/>
      <c r="E3" s="412"/>
      <c r="F3" s="412"/>
      <c r="G3" s="412"/>
      <c r="H3" s="413"/>
    </row>
    <row r="4" spans="1:8" ht="18">
      <c r="A4" s="414" t="s">
        <v>99</v>
      </c>
      <c r="B4" s="415"/>
      <c r="C4" s="415"/>
      <c r="D4" s="415"/>
      <c r="E4" s="499" t="s">
        <v>75</v>
      </c>
      <c r="F4" s="499"/>
      <c r="G4" s="499"/>
      <c r="H4" s="500"/>
    </row>
    <row r="5" spans="1:8" ht="23.25" customHeight="1">
      <c r="A5" s="414"/>
      <c r="B5" s="415"/>
      <c r="C5" s="415"/>
      <c r="D5" s="415"/>
      <c r="E5" s="499" t="s">
        <v>27</v>
      </c>
      <c r="F5" s="499"/>
      <c r="G5" s="499"/>
      <c r="H5" s="500"/>
    </row>
    <row r="6" spans="1:8" ht="54.75" customHeight="1">
      <c r="A6" s="501" t="s">
        <v>28</v>
      </c>
      <c r="B6" s="502"/>
      <c r="C6" s="502"/>
      <c r="D6" s="502"/>
      <c r="E6" s="503" t="s">
        <v>74</v>
      </c>
      <c r="F6" s="503"/>
      <c r="G6" s="503"/>
      <c r="H6" s="504"/>
    </row>
    <row r="7" spans="1:8" ht="64.5" customHeight="1">
      <c r="A7" s="508" t="s">
        <v>51</v>
      </c>
      <c r="B7" s="509"/>
      <c r="C7" s="509"/>
      <c r="D7" s="509"/>
      <c r="E7" s="510" t="s">
        <v>81</v>
      </c>
      <c r="F7" s="510"/>
      <c r="G7" s="510"/>
      <c r="H7" s="511"/>
    </row>
    <row r="8" spans="1:9" s="6" customFormat="1" ht="33" customHeight="1">
      <c r="A8" s="497" t="s">
        <v>100</v>
      </c>
      <c r="B8" s="498"/>
      <c r="C8" s="498"/>
      <c r="D8" s="152" t="s">
        <v>76</v>
      </c>
      <c r="E8" s="510"/>
      <c r="F8" s="510"/>
      <c r="G8" s="510"/>
      <c r="H8" s="511"/>
      <c r="I8" s="5"/>
    </row>
    <row r="9" spans="1:11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58" t="s">
        <v>3</v>
      </c>
      <c r="H9" s="159" t="s">
        <v>4</v>
      </c>
      <c r="I9" s="1"/>
      <c r="K9" s="285">
        <f>'Planilha Geral'!H4</f>
        <v>1.2861</v>
      </c>
    </row>
    <row r="10" spans="1:9" s="7" customFormat="1" ht="18">
      <c r="A10" s="40">
        <v>1</v>
      </c>
      <c r="B10" s="121"/>
      <c r="C10" s="122"/>
      <c r="D10" s="77" t="s">
        <v>18</v>
      </c>
      <c r="E10" s="121"/>
      <c r="F10" s="123"/>
      <c r="G10" s="124"/>
      <c r="H10" s="125"/>
      <c r="I10" s="1"/>
    </row>
    <row r="11" spans="1:8" s="10" customFormat="1" ht="18">
      <c r="A11" s="390" t="s">
        <v>70</v>
      </c>
      <c r="B11" s="391"/>
      <c r="C11" s="391"/>
      <c r="D11" s="391"/>
      <c r="E11" s="391"/>
      <c r="F11" s="391"/>
      <c r="G11" s="282"/>
      <c r="H11" s="109"/>
    </row>
    <row r="12" spans="1:8" s="10" customFormat="1" ht="18">
      <c r="A12" s="133"/>
      <c r="B12" s="44"/>
      <c r="C12" s="44"/>
      <c r="D12" s="44"/>
      <c r="E12" s="44"/>
      <c r="F12" s="44"/>
      <c r="G12" s="44"/>
      <c r="H12" s="106"/>
    </row>
    <row r="13" spans="1:9" s="7" customFormat="1" ht="18">
      <c r="A13" s="40">
        <v>2</v>
      </c>
      <c r="B13" s="121"/>
      <c r="C13" s="122"/>
      <c r="D13" s="77" t="s">
        <v>16</v>
      </c>
      <c r="E13" s="121"/>
      <c r="F13" s="123"/>
      <c r="G13" s="124"/>
      <c r="H13" s="125"/>
      <c r="I13" s="1"/>
    </row>
    <row r="14" spans="1:9" s="7" customFormat="1" ht="36">
      <c r="A14" s="37" t="s">
        <v>12</v>
      </c>
      <c r="B14" s="38" t="s">
        <v>20</v>
      </c>
      <c r="C14" s="39" t="s">
        <v>46</v>
      </c>
      <c r="D14" s="26" t="s">
        <v>35</v>
      </c>
      <c r="E14" s="25" t="s">
        <v>6</v>
      </c>
      <c r="F14" s="50"/>
      <c r="G14" s="50" t="s">
        <v>52</v>
      </c>
      <c r="H14" s="107"/>
      <c r="I14" s="1"/>
    </row>
    <row r="15" spans="1:9" s="7" customFormat="1" ht="18">
      <c r="A15" s="37" t="s">
        <v>13</v>
      </c>
      <c r="B15" s="38" t="s">
        <v>20</v>
      </c>
      <c r="C15" s="39" t="s">
        <v>47</v>
      </c>
      <c r="D15" s="26" t="s">
        <v>29</v>
      </c>
      <c r="E15" s="25" t="s">
        <v>6</v>
      </c>
      <c r="F15" s="50"/>
      <c r="G15" s="50" t="s">
        <v>52</v>
      </c>
      <c r="H15" s="107"/>
      <c r="I15" s="1"/>
    </row>
    <row r="16" spans="1:9" s="101" customFormat="1" ht="72">
      <c r="A16" s="98" t="s">
        <v>14</v>
      </c>
      <c r="B16" s="91" t="s">
        <v>57</v>
      </c>
      <c r="C16" s="96" t="s">
        <v>58</v>
      </c>
      <c r="D16" s="102" t="s">
        <v>30</v>
      </c>
      <c r="E16" s="97" t="s">
        <v>6</v>
      </c>
      <c r="F16" s="92"/>
      <c r="G16" s="92" t="s">
        <v>52</v>
      </c>
      <c r="H16" s="110"/>
      <c r="I16" s="100"/>
    </row>
    <row r="17" spans="1:9" s="7" customFormat="1" ht="36">
      <c r="A17" s="37" t="s">
        <v>15</v>
      </c>
      <c r="B17" s="38" t="s">
        <v>19</v>
      </c>
      <c r="C17" s="43" t="s">
        <v>39</v>
      </c>
      <c r="D17" s="27" t="s">
        <v>21</v>
      </c>
      <c r="E17" s="25" t="s">
        <v>5</v>
      </c>
      <c r="F17" s="50"/>
      <c r="G17" s="50" t="s">
        <v>52</v>
      </c>
      <c r="H17" s="107"/>
      <c r="I17" s="1"/>
    </row>
    <row r="18" spans="1:9" s="7" customFormat="1" ht="18">
      <c r="A18" s="388" t="s">
        <v>8</v>
      </c>
      <c r="B18" s="389"/>
      <c r="C18" s="389"/>
      <c r="D18" s="389"/>
      <c r="E18" s="389"/>
      <c r="F18" s="389"/>
      <c r="G18" s="283"/>
      <c r="H18" s="108">
        <f>SUM(H13:H17)</f>
        <v>0</v>
      </c>
      <c r="I18" s="1"/>
    </row>
    <row r="19" spans="1:8" s="10" customFormat="1" ht="18">
      <c r="A19" s="390" t="s">
        <v>69</v>
      </c>
      <c r="B19" s="391"/>
      <c r="C19" s="391"/>
      <c r="D19" s="391"/>
      <c r="E19" s="391"/>
      <c r="F19" s="391"/>
      <c r="G19" s="282"/>
      <c r="H19" s="109">
        <f>H18</f>
        <v>0</v>
      </c>
    </row>
    <row r="20" spans="1:8" s="10" customFormat="1" ht="18">
      <c r="A20" s="133"/>
      <c r="B20" s="44"/>
      <c r="C20" s="44"/>
      <c r="D20" s="44"/>
      <c r="E20" s="44"/>
      <c r="F20" s="44"/>
      <c r="G20" s="44"/>
      <c r="H20" s="106"/>
    </row>
    <row r="21" spans="1:8" s="9" customFormat="1" ht="18">
      <c r="A21" s="82">
        <v>3</v>
      </c>
      <c r="B21" s="29"/>
      <c r="C21" s="30"/>
      <c r="D21" s="77" t="s">
        <v>9</v>
      </c>
      <c r="E21" s="31"/>
      <c r="F21" s="48"/>
      <c r="G21" s="49"/>
      <c r="H21" s="60"/>
    </row>
    <row r="22" spans="1:8" s="4" customFormat="1" ht="55.5" customHeight="1">
      <c r="A22" s="41" t="s">
        <v>17</v>
      </c>
      <c r="B22" s="371" t="s">
        <v>57</v>
      </c>
      <c r="C22" s="372" t="s">
        <v>313</v>
      </c>
      <c r="D22" s="373" t="s">
        <v>314</v>
      </c>
      <c r="E22" s="97" t="s">
        <v>5</v>
      </c>
      <c r="F22" s="50">
        <v>719.37</v>
      </c>
      <c r="G22" s="50">
        <f>'Planilha Geral'!G44</f>
        <v>54.080504999999995</v>
      </c>
      <c r="H22" s="107">
        <f>F22*G22</f>
        <v>38903.89288185</v>
      </c>
    </row>
    <row r="23" spans="1:8" s="4" customFormat="1" ht="72">
      <c r="A23" s="41" t="s">
        <v>63</v>
      </c>
      <c r="B23" s="42" t="s">
        <v>57</v>
      </c>
      <c r="C23" s="43" t="s">
        <v>59</v>
      </c>
      <c r="D23" s="27" t="s">
        <v>60</v>
      </c>
      <c r="E23" s="25" t="s">
        <v>0</v>
      </c>
      <c r="F23" s="50">
        <v>132.65</v>
      </c>
      <c r="G23" s="50">
        <f>'Planilha Geral'!G45</f>
        <v>24.30729</v>
      </c>
      <c r="H23" s="107">
        <f>F23*G23</f>
        <v>3224.3620185</v>
      </c>
    </row>
    <row r="24" spans="1:8" s="4" customFormat="1" ht="90">
      <c r="A24" s="41" t="s">
        <v>65</v>
      </c>
      <c r="B24" s="42" t="s">
        <v>57</v>
      </c>
      <c r="C24" s="43" t="s">
        <v>72</v>
      </c>
      <c r="D24" s="27" t="s">
        <v>73</v>
      </c>
      <c r="E24" s="25" t="s">
        <v>5</v>
      </c>
      <c r="F24" s="50">
        <v>124.31</v>
      </c>
      <c r="G24" s="50">
        <f>'Planilha Geral'!G46</f>
        <v>43.122933</v>
      </c>
      <c r="H24" s="107">
        <f>F24*G24</f>
        <v>5360.61180123</v>
      </c>
    </row>
    <row r="25" spans="1:8" s="4" customFormat="1" ht="36">
      <c r="A25" s="41" t="s">
        <v>101</v>
      </c>
      <c r="B25" s="42" t="s">
        <v>19</v>
      </c>
      <c r="C25" s="43" t="s">
        <v>102</v>
      </c>
      <c r="D25" s="27" t="s">
        <v>103</v>
      </c>
      <c r="E25" s="25" t="s">
        <v>0</v>
      </c>
      <c r="F25" s="50">
        <v>8.86</v>
      </c>
      <c r="G25" s="50">
        <f>'Planilha Geral'!G47</f>
        <v>43.95</v>
      </c>
      <c r="H25" s="107">
        <f>F25*G25</f>
        <v>389.397</v>
      </c>
    </row>
    <row r="26" spans="1:8" s="4" customFormat="1" ht="18">
      <c r="A26" s="388" t="s">
        <v>8</v>
      </c>
      <c r="B26" s="389"/>
      <c r="C26" s="389"/>
      <c r="D26" s="389"/>
      <c r="E26" s="389"/>
      <c r="F26" s="389"/>
      <c r="G26" s="283"/>
      <c r="H26" s="108">
        <f>SUM(H22:H25)</f>
        <v>47878.26370158</v>
      </c>
    </row>
    <row r="27" spans="1:8" ht="18">
      <c r="A27" s="390" t="s">
        <v>33</v>
      </c>
      <c r="B27" s="391"/>
      <c r="C27" s="391"/>
      <c r="D27" s="391"/>
      <c r="E27" s="391"/>
      <c r="F27" s="391"/>
      <c r="G27" s="282"/>
      <c r="H27" s="109">
        <f>H26</f>
        <v>47878.26370158</v>
      </c>
    </row>
    <row r="28" spans="1:8" ht="18">
      <c r="A28" s="83"/>
      <c r="B28" s="78"/>
      <c r="C28" s="78"/>
      <c r="D28" s="78"/>
      <c r="E28" s="42"/>
      <c r="F28" s="50"/>
      <c r="G28" s="70"/>
      <c r="H28" s="106"/>
    </row>
    <row r="29" spans="1:8" ht="18">
      <c r="A29" s="82" t="s">
        <v>104</v>
      </c>
      <c r="B29" s="29"/>
      <c r="C29" s="30"/>
      <c r="D29" s="77" t="s">
        <v>38</v>
      </c>
      <c r="E29" s="31"/>
      <c r="F29" s="48"/>
      <c r="G29" s="49"/>
      <c r="H29" s="60"/>
    </row>
    <row r="30" spans="1:8" ht="36">
      <c r="A30" s="41" t="s">
        <v>24</v>
      </c>
      <c r="B30" s="38" t="s">
        <v>19</v>
      </c>
      <c r="C30" s="43" t="s">
        <v>54</v>
      </c>
      <c r="D30" s="27" t="s">
        <v>53</v>
      </c>
      <c r="E30" s="25" t="s">
        <v>5</v>
      </c>
      <c r="F30" s="50">
        <v>0.5652</v>
      </c>
      <c r="G30" s="50">
        <f>'Planilha Geral'!G54</f>
        <v>401.26</v>
      </c>
      <c r="H30" s="107">
        <f>F30*G30</f>
        <v>226.79215200000002</v>
      </c>
    </row>
    <row r="31" spans="1:8" ht="18">
      <c r="A31" s="388" t="s">
        <v>8</v>
      </c>
      <c r="B31" s="389"/>
      <c r="C31" s="389"/>
      <c r="D31" s="389"/>
      <c r="E31" s="389"/>
      <c r="F31" s="389"/>
      <c r="G31" s="283"/>
      <c r="H31" s="108">
        <f>SUM(H30:H30)</f>
        <v>226.79215200000002</v>
      </c>
    </row>
    <row r="32" spans="1:8" ht="18">
      <c r="A32" s="390" t="s">
        <v>23</v>
      </c>
      <c r="B32" s="391"/>
      <c r="C32" s="391"/>
      <c r="D32" s="391"/>
      <c r="E32" s="391"/>
      <c r="F32" s="391"/>
      <c r="G32" s="282"/>
      <c r="H32" s="109">
        <f>H31</f>
        <v>226.79215200000002</v>
      </c>
    </row>
    <row r="33" spans="1:8" ht="18">
      <c r="A33" s="133"/>
      <c r="B33" s="44"/>
      <c r="C33" s="44"/>
      <c r="D33" s="44"/>
      <c r="E33" s="44"/>
      <c r="F33" s="44"/>
      <c r="G33" s="44"/>
      <c r="H33" s="106"/>
    </row>
    <row r="34" spans="1:8" ht="18">
      <c r="A34" s="40" t="s">
        <v>66</v>
      </c>
      <c r="B34" s="29"/>
      <c r="C34" s="30"/>
      <c r="D34" s="77" t="s">
        <v>11</v>
      </c>
      <c r="E34" s="31"/>
      <c r="F34" s="48"/>
      <c r="G34" s="49"/>
      <c r="H34" s="151"/>
    </row>
    <row r="35" spans="1:8" ht="36">
      <c r="A35" s="41" t="s">
        <v>67</v>
      </c>
      <c r="B35" s="38" t="s">
        <v>19</v>
      </c>
      <c r="C35" s="39" t="s">
        <v>36</v>
      </c>
      <c r="D35" s="33" t="s">
        <v>37</v>
      </c>
      <c r="E35" s="25" t="s">
        <v>0</v>
      </c>
      <c r="F35" s="50">
        <f>'[3]MEMÓRIA'!E33</f>
        <v>3</v>
      </c>
      <c r="G35" s="50">
        <f>'Planilha Geral'!G29</f>
        <v>327.52</v>
      </c>
      <c r="H35" s="107">
        <f>F35*G35</f>
        <v>982.56</v>
      </c>
    </row>
    <row r="36" spans="1:8" ht="54">
      <c r="A36" s="41" t="s">
        <v>298</v>
      </c>
      <c r="B36" s="38" t="s">
        <v>57</v>
      </c>
      <c r="C36" s="39" t="s">
        <v>86</v>
      </c>
      <c r="D36" s="367" t="s">
        <v>318</v>
      </c>
      <c r="E36" s="25" t="s">
        <v>0</v>
      </c>
      <c r="F36" s="50">
        <v>130.95</v>
      </c>
      <c r="G36" s="50">
        <f>'Planilha Geral'!G28</f>
        <v>32.846994</v>
      </c>
      <c r="H36" s="107">
        <f>F36*G36</f>
        <v>4301.3138643</v>
      </c>
    </row>
    <row r="37" spans="1:8" ht="18">
      <c r="A37" s="388" t="s">
        <v>8</v>
      </c>
      <c r="B37" s="389"/>
      <c r="C37" s="389"/>
      <c r="D37" s="389"/>
      <c r="E37" s="389"/>
      <c r="F37" s="389"/>
      <c r="G37" s="365"/>
      <c r="H37" s="108">
        <f>SUM(H35:H36)</f>
        <v>5283.8738643</v>
      </c>
    </row>
    <row r="38" spans="1:8" ht="18">
      <c r="A38" s="390" t="s">
        <v>23</v>
      </c>
      <c r="B38" s="391"/>
      <c r="C38" s="391"/>
      <c r="D38" s="391"/>
      <c r="E38" s="391"/>
      <c r="F38" s="391"/>
      <c r="G38" s="366"/>
      <c r="H38" s="109">
        <f>H37</f>
        <v>5283.8738643</v>
      </c>
    </row>
    <row r="39" spans="1:8" ht="18.75" thickBot="1">
      <c r="A39" s="392" t="s">
        <v>10</v>
      </c>
      <c r="B39" s="393"/>
      <c r="C39" s="393"/>
      <c r="D39" s="393"/>
      <c r="E39" s="393"/>
      <c r="F39" s="393"/>
      <c r="G39" s="284"/>
      <c r="H39" s="225">
        <f>H32+H27+H19+H11+H38</f>
        <v>53388.929717880004</v>
      </c>
    </row>
    <row r="40" spans="1:8" ht="18" customHeight="1">
      <c r="A40" s="379"/>
      <c r="B40" s="380"/>
      <c r="C40" s="380"/>
      <c r="D40" s="380"/>
      <c r="E40" s="380"/>
      <c r="F40" s="380"/>
      <c r="G40" s="380"/>
      <c r="H40" s="381"/>
    </row>
    <row r="41" spans="1:8" ht="18" customHeight="1">
      <c r="A41" s="382" t="s">
        <v>48</v>
      </c>
      <c r="B41" s="383"/>
      <c r="C41" s="383"/>
      <c r="D41" s="383"/>
      <c r="E41" s="383"/>
      <c r="F41" s="383"/>
      <c r="G41" s="383"/>
      <c r="H41" s="384"/>
    </row>
    <row r="42" spans="1:8" ht="15.75" customHeight="1">
      <c r="A42" s="385" t="s">
        <v>49</v>
      </c>
      <c r="B42" s="386"/>
      <c r="C42" s="386"/>
      <c r="D42" s="386"/>
      <c r="E42" s="386"/>
      <c r="F42" s="386"/>
      <c r="G42" s="386"/>
      <c r="H42" s="387"/>
    </row>
    <row r="43" spans="1:8" ht="18" customHeight="1">
      <c r="A43" s="385" t="s">
        <v>50</v>
      </c>
      <c r="B43" s="386"/>
      <c r="C43" s="386"/>
      <c r="D43" s="386"/>
      <c r="E43" s="386"/>
      <c r="F43" s="386"/>
      <c r="G43" s="386"/>
      <c r="H43" s="387"/>
    </row>
    <row r="44" spans="1:8" ht="18" customHeight="1" thickBot="1">
      <c r="A44" s="85"/>
      <c r="B44" s="86"/>
      <c r="C44" s="86"/>
      <c r="D44" s="86"/>
      <c r="E44" s="86"/>
      <c r="F44" s="86"/>
      <c r="G44" s="86"/>
      <c r="H44" s="115"/>
    </row>
    <row r="45" spans="1:8" ht="18">
      <c r="A45" s="36"/>
      <c r="B45" s="36"/>
      <c r="C45" s="34"/>
      <c r="D45" s="45"/>
      <c r="E45" s="35"/>
      <c r="F45" s="51"/>
      <c r="G45" s="52"/>
      <c r="H45" s="53"/>
    </row>
    <row r="46" spans="1:8" ht="15">
      <c r="A46" s="14"/>
      <c r="B46" s="20"/>
      <c r="C46" s="23"/>
      <c r="D46" s="46"/>
      <c r="E46" s="8"/>
      <c r="F46" s="54"/>
      <c r="G46" s="55"/>
      <c r="H46" s="56"/>
    </row>
  </sheetData>
  <sheetProtection/>
  <mergeCells count="24">
    <mergeCell ref="A1:H2"/>
    <mergeCell ref="A3:H3"/>
    <mergeCell ref="A4:D5"/>
    <mergeCell ref="E4:H4"/>
    <mergeCell ref="E5:H5"/>
    <mergeCell ref="A6:D6"/>
    <mergeCell ref="E6:H6"/>
    <mergeCell ref="A37:F37"/>
    <mergeCell ref="A7:D7"/>
    <mergeCell ref="E7:H8"/>
    <mergeCell ref="A8:C8"/>
    <mergeCell ref="A11:F11"/>
    <mergeCell ref="A18:F18"/>
    <mergeCell ref="A19:F19"/>
    <mergeCell ref="A38:F38"/>
    <mergeCell ref="A40:H40"/>
    <mergeCell ref="A41:H41"/>
    <mergeCell ref="A42:H42"/>
    <mergeCell ref="A43:H43"/>
    <mergeCell ref="A26:F26"/>
    <mergeCell ref="A27:F27"/>
    <mergeCell ref="A31:F31"/>
    <mergeCell ref="A32:F32"/>
    <mergeCell ref="A39:F39"/>
  </mergeCells>
  <printOptions/>
  <pageMargins left="0.511811024" right="0.511811024" top="0.787401575" bottom="0.787401575" header="0.31496062" footer="0.31496062"/>
  <pageSetup horizontalDpi="600" verticalDpi="60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85" zoomScaleSheetLayoutView="85" zoomScalePageLayoutView="0" workbookViewId="0" topLeftCell="A32">
      <selection activeCell="H51" sqref="H51"/>
    </sheetView>
  </sheetViews>
  <sheetFormatPr defaultColWidth="9.140625" defaultRowHeight="15"/>
  <cols>
    <col min="1" max="1" width="10.140625" style="2" customWidth="1"/>
    <col min="2" max="2" width="13.140625" style="2" customWidth="1"/>
    <col min="3" max="3" width="16.14062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58" customWidth="1"/>
    <col min="8" max="8" width="20.7109375" style="59" customWidth="1"/>
    <col min="9" max="9" width="26.7109375" style="17" customWidth="1"/>
    <col min="10" max="10" width="9.140625" style="5" customWidth="1"/>
    <col min="11" max="11" width="16.00390625" style="5" customWidth="1"/>
    <col min="12" max="12" width="9.140625" style="5" customWidth="1"/>
    <col min="13" max="13" width="9.57421875" style="5" bestFit="1" customWidth="1"/>
    <col min="14" max="16384" width="9.140625" style="5" customWidth="1"/>
  </cols>
  <sheetData>
    <row r="1" spans="1:8" ht="36" customHeight="1">
      <c r="A1" s="512" t="s">
        <v>34</v>
      </c>
      <c r="B1" s="513"/>
      <c r="C1" s="513"/>
      <c r="D1" s="513"/>
      <c r="E1" s="513"/>
      <c r="F1" s="513"/>
      <c r="G1" s="513"/>
      <c r="H1" s="514"/>
    </row>
    <row r="2" spans="1:8" ht="53.25" customHeight="1" thickBot="1">
      <c r="A2" s="515"/>
      <c r="B2" s="516"/>
      <c r="C2" s="516"/>
      <c r="D2" s="516"/>
      <c r="E2" s="516"/>
      <c r="F2" s="516"/>
      <c r="G2" s="516"/>
      <c r="H2" s="517"/>
    </row>
    <row r="3" spans="1:8" ht="21" customHeight="1">
      <c r="A3" s="411" t="s">
        <v>55</v>
      </c>
      <c r="B3" s="412"/>
      <c r="C3" s="412"/>
      <c r="D3" s="412"/>
      <c r="E3" s="412"/>
      <c r="F3" s="412"/>
      <c r="G3" s="412"/>
      <c r="H3" s="413"/>
    </row>
    <row r="4" spans="1:9" ht="18">
      <c r="A4" s="414" t="s">
        <v>182</v>
      </c>
      <c r="B4" s="415"/>
      <c r="C4" s="415"/>
      <c r="D4" s="415"/>
      <c r="E4" s="499" t="s">
        <v>75</v>
      </c>
      <c r="F4" s="499"/>
      <c r="G4" s="499"/>
      <c r="H4" s="500"/>
      <c r="I4"/>
    </row>
    <row r="5" spans="1:8" ht="23.25" customHeight="1">
      <c r="A5" s="414"/>
      <c r="B5" s="415"/>
      <c r="C5" s="415"/>
      <c r="D5" s="415"/>
      <c r="E5" s="499" t="s">
        <v>27</v>
      </c>
      <c r="F5" s="499"/>
      <c r="G5" s="499"/>
      <c r="H5" s="500"/>
    </row>
    <row r="6" spans="1:10" ht="55.5" customHeight="1">
      <c r="A6" s="501" t="s">
        <v>28</v>
      </c>
      <c r="B6" s="502"/>
      <c r="C6" s="502"/>
      <c r="D6" s="502"/>
      <c r="E6" s="503" t="s">
        <v>74</v>
      </c>
      <c r="F6" s="503"/>
      <c r="G6" s="503"/>
      <c r="H6" s="504"/>
      <c r="J6"/>
    </row>
    <row r="7" spans="1:8" ht="64.5" customHeight="1">
      <c r="A7" s="508" t="s">
        <v>51</v>
      </c>
      <c r="B7" s="509"/>
      <c r="C7" s="509"/>
      <c r="D7" s="509"/>
      <c r="E7" s="510" t="s">
        <v>81</v>
      </c>
      <c r="F7" s="510"/>
      <c r="G7" s="510"/>
      <c r="H7" s="511"/>
    </row>
    <row r="8" spans="1:14" s="6" customFormat="1" ht="33" customHeight="1">
      <c r="A8" s="497" t="s">
        <v>106</v>
      </c>
      <c r="B8" s="498"/>
      <c r="C8" s="498"/>
      <c r="D8" s="152" t="s">
        <v>76</v>
      </c>
      <c r="E8" s="510"/>
      <c r="F8" s="510"/>
      <c r="G8" s="510"/>
      <c r="H8" s="511"/>
      <c r="I8" s="18"/>
      <c r="K8" s="5"/>
      <c r="L8" s="5"/>
      <c r="M8" s="5"/>
      <c r="N8" s="5"/>
    </row>
    <row r="9" spans="1:14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58" t="s">
        <v>3</v>
      </c>
      <c r="H9" s="159" t="s">
        <v>4</v>
      </c>
      <c r="I9" s="19"/>
      <c r="J9" s="285">
        <f>'Planilha Geral'!H4</f>
        <v>1.2861</v>
      </c>
      <c r="K9" s="1"/>
      <c r="L9" s="1"/>
      <c r="M9" s="1"/>
      <c r="N9" s="1"/>
    </row>
    <row r="10" spans="1:14" s="7" customFormat="1" ht="18">
      <c r="A10" s="40">
        <v>1</v>
      </c>
      <c r="B10" s="121"/>
      <c r="C10" s="122"/>
      <c r="D10" s="77" t="s">
        <v>18</v>
      </c>
      <c r="E10" s="121"/>
      <c r="F10" s="123"/>
      <c r="G10" s="124"/>
      <c r="H10" s="125"/>
      <c r="I10" s="19"/>
      <c r="K10" s="1"/>
      <c r="L10" s="1"/>
      <c r="M10" s="1"/>
      <c r="N10" s="1"/>
    </row>
    <row r="11" spans="1:11" s="10" customFormat="1" ht="18.75" thickBot="1">
      <c r="A11" s="390" t="s">
        <v>70</v>
      </c>
      <c r="B11" s="391"/>
      <c r="C11" s="391"/>
      <c r="D11" s="391"/>
      <c r="E11" s="391"/>
      <c r="F11" s="391"/>
      <c r="G11" s="282"/>
      <c r="H11" s="109"/>
      <c r="I11" s="67" t="e">
        <f>I3+#REF!+#REF!+#REF!+#REF!+#REF!+I8</f>
        <v>#REF!</v>
      </c>
      <c r="K11" s="11"/>
    </row>
    <row r="12" spans="1:11" s="10" customFormat="1" ht="18">
      <c r="A12" s="133"/>
      <c r="B12" s="44"/>
      <c r="C12" s="44"/>
      <c r="D12" s="44"/>
      <c r="E12" s="44"/>
      <c r="F12" s="44"/>
      <c r="G12" s="44"/>
      <c r="H12" s="106"/>
      <c r="I12" s="21"/>
      <c r="K12" s="11"/>
    </row>
    <row r="13" spans="1:14" s="7" customFormat="1" ht="18">
      <c r="A13" s="40">
        <v>2</v>
      </c>
      <c r="B13" s="121"/>
      <c r="C13" s="122"/>
      <c r="D13" s="77" t="s">
        <v>16</v>
      </c>
      <c r="E13" s="121"/>
      <c r="F13" s="123"/>
      <c r="G13" s="124"/>
      <c r="H13" s="125"/>
      <c r="I13" s="19"/>
      <c r="K13" s="1"/>
      <c r="L13" s="1"/>
      <c r="M13" s="1"/>
      <c r="N13" s="1"/>
    </row>
    <row r="14" spans="1:14" s="7" customFormat="1" ht="36">
      <c r="A14" s="37" t="s">
        <v>12</v>
      </c>
      <c r="B14" s="38" t="s">
        <v>20</v>
      </c>
      <c r="C14" s="39" t="s">
        <v>46</v>
      </c>
      <c r="D14" s="26" t="s">
        <v>35</v>
      </c>
      <c r="E14" s="25" t="s">
        <v>6</v>
      </c>
      <c r="F14" s="50"/>
      <c r="G14" s="50" t="s">
        <v>52</v>
      </c>
      <c r="H14" s="107"/>
      <c r="I14" s="19" t="e">
        <f>#REF!+#REF!+#REF!+#REF!++#REF!+#REF!+#REF!+#REF!+#REF!+#REF!+#REF!+#REF!+#REF!+#REF!</f>
        <v>#REF!</v>
      </c>
      <c r="J14" s="15"/>
      <c r="K14" s="15" t="e">
        <f>#REF!+#REF!+#REF!+#REF!+#REF!+#REF!+#REF!+#REF!+#REF!+#REF!+#REF!+#REF!+#REF!+#REF!</f>
        <v>#REF!</v>
      </c>
      <c r="L14" s="1"/>
      <c r="M14" s="16" t="e">
        <f>H14-I14</f>
        <v>#REF!</v>
      </c>
      <c r="N14" s="1"/>
    </row>
    <row r="15" spans="1:14" s="7" customFormat="1" ht="18">
      <c r="A15" s="37" t="s">
        <v>13</v>
      </c>
      <c r="B15" s="38" t="s">
        <v>20</v>
      </c>
      <c r="C15" s="39" t="s">
        <v>47</v>
      </c>
      <c r="D15" s="26" t="s">
        <v>29</v>
      </c>
      <c r="E15" s="25" t="s">
        <v>6</v>
      </c>
      <c r="F15" s="50"/>
      <c r="G15" s="50" t="s">
        <v>52</v>
      </c>
      <c r="H15" s="107"/>
      <c r="I15" s="19" t="e">
        <f>#REF!+#REF!+#REF!+#REF!++#REF!+#REF!+#REF!+#REF!+#REF!+#REF!+#REF!+#REF!+#REF!+#REF!</f>
        <v>#REF!</v>
      </c>
      <c r="K15" s="15" t="e">
        <f>#REF!+#REF!+#REF!+#REF!+#REF!+#REF!+#REF!+#REF!+#REF!+#REF!+#REF!+#REF!+#REF!+#REF!</f>
        <v>#REF!</v>
      </c>
      <c r="L15" s="1"/>
      <c r="M15" s="16" t="e">
        <f>H15-I15</f>
        <v>#REF!</v>
      </c>
      <c r="N15" s="1"/>
    </row>
    <row r="16" spans="1:14" s="101" customFormat="1" ht="72">
      <c r="A16" s="98" t="s">
        <v>14</v>
      </c>
      <c r="B16" s="91" t="s">
        <v>57</v>
      </c>
      <c r="C16" s="96" t="s">
        <v>58</v>
      </c>
      <c r="D16" s="102" t="s">
        <v>30</v>
      </c>
      <c r="E16" s="97" t="s">
        <v>6</v>
      </c>
      <c r="F16" s="92"/>
      <c r="G16" s="92" t="s">
        <v>52</v>
      </c>
      <c r="H16" s="110"/>
      <c r="I16" s="93" t="e">
        <f>#REF!+#REF!+#REF!+#REF!++#REF!+#REF!+#REF!+#REF!+#REF!+#REF!+#REF!+#REF!+#REF!+#REF!</f>
        <v>#REF!</v>
      </c>
      <c r="K16" s="99" t="e">
        <f>#REF!+#REF!+#REF!+#REF!+#REF!+#REF!+#REF!+#REF!+#REF!+#REF!+#REF!+#REF!+#REF!+#REF!</f>
        <v>#REF!</v>
      </c>
      <c r="L16" s="100"/>
      <c r="M16" s="94" t="e">
        <f>H16-I16</f>
        <v>#REF!</v>
      </c>
      <c r="N16" s="100"/>
    </row>
    <row r="17" spans="1:14" s="7" customFormat="1" ht="36">
      <c r="A17" s="37" t="s">
        <v>15</v>
      </c>
      <c r="B17" s="38" t="s">
        <v>19</v>
      </c>
      <c r="C17" s="43" t="s">
        <v>39</v>
      </c>
      <c r="D17" s="27" t="s">
        <v>21</v>
      </c>
      <c r="E17" s="25" t="s">
        <v>5</v>
      </c>
      <c r="F17" s="50"/>
      <c r="G17" s="50" t="s">
        <v>52</v>
      </c>
      <c r="H17" s="107"/>
      <c r="I17" s="19"/>
      <c r="K17" s="15"/>
      <c r="L17" s="1"/>
      <c r="M17" s="16"/>
      <c r="N17" s="1"/>
    </row>
    <row r="18" spans="1:14" s="7" customFormat="1" ht="18">
      <c r="A18" s="388" t="s">
        <v>8</v>
      </c>
      <c r="B18" s="389"/>
      <c r="C18" s="389"/>
      <c r="D18" s="389"/>
      <c r="E18" s="389"/>
      <c r="F18" s="389"/>
      <c r="G18" s="283"/>
      <c r="H18" s="108">
        <f>SUM(H13:H17)</f>
        <v>0</v>
      </c>
      <c r="I18" s="64" t="e">
        <f>SUM(I13:I16)</f>
        <v>#REF!</v>
      </c>
      <c r="K18" s="1"/>
      <c r="L18" s="1"/>
      <c r="M18" s="16" t="e">
        <f>H18-I18</f>
        <v>#REF!</v>
      </c>
      <c r="N18" s="1"/>
    </row>
    <row r="19" spans="1:11" s="10" customFormat="1" ht="18.75" thickBot="1">
      <c r="A19" s="390" t="s">
        <v>69</v>
      </c>
      <c r="B19" s="391"/>
      <c r="C19" s="391"/>
      <c r="D19" s="391"/>
      <c r="E19" s="391"/>
      <c r="F19" s="391"/>
      <c r="G19" s="282"/>
      <c r="H19" s="109">
        <f>H18</f>
        <v>0</v>
      </c>
      <c r="I19" s="67" t="e">
        <f>I10+#REF!+#REF!+#REF!+#REF!+#REF!+I13</f>
        <v>#REF!</v>
      </c>
      <c r="K19" s="11"/>
    </row>
    <row r="20" spans="1:11" s="10" customFormat="1" ht="18">
      <c r="A20" s="133"/>
      <c r="B20" s="44"/>
      <c r="C20" s="44"/>
      <c r="D20" s="44"/>
      <c r="E20" s="44"/>
      <c r="F20" s="44"/>
      <c r="G20" s="44"/>
      <c r="H20" s="106"/>
      <c r="I20" s="21"/>
      <c r="K20" s="11"/>
    </row>
    <row r="21" spans="1:13" s="4" customFormat="1" ht="18">
      <c r="A21" s="40">
        <v>3</v>
      </c>
      <c r="B21" s="121"/>
      <c r="C21" s="122"/>
      <c r="D21" s="77" t="s">
        <v>11</v>
      </c>
      <c r="E21" s="121"/>
      <c r="F21" s="123"/>
      <c r="G21" s="123"/>
      <c r="H21" s="125"/>
      <c r="I21" s="19"/>
      <c r="K21" s="22"/>
      <c r="M21" s="16">
        <f>H21-I21</f>
        <v>0</v>
      </c>
    </row>
    <row r="22" spans="1:9" s="9" customFormat="1" ht="18">
      <c r="A22" s="126" t="s">
        <v>17</v>
      </c>
      <c r="B22" s="127"/>
      <c r="C22" s="128"/>
      <c r="D22" s="28" t="s">
        <v>11</v>
      </c>
      <c r="E22" s="129"/>
      <c r="F22" s="130"/>
      <c r="G22" s="131"/>
      <c r="H22" s="132"/>
      <c r="I22" s="19"/>
    </row>
    <row r="23" spans="1:11" ht="36">
      <c r="A23" s="41" t="s">
        <v>31</v>
      </c>
      <c r="B23" s="38" t="s">
        <v>19</v>
      </c>
      <c r="C23" s="39" t="s">
        <v>36</v>
      </c>
      <c r="D23" s="33" t="s">
        <v>37</v>
      </c>
      <c r="E23" s="25" t="s">
        <v>0</v>
      </c>
      <c r="F23" s="50">
        <v>4</v>
      </c>
      <c r="G23" s="50">
        <f>'Planilha Geral'!G29</f>
        <v>327.52</v>
      </c>
      <c r="H23" s="107">
        <f>F23*G23</f>
        <v>1310.08</v>
      </c>
      <c r="I23" s="19" t="e">
        <f>#REF!+#REF!+#REF!+#REF!+#REF!+#REF!+#REF!+#REF!+#REF!+#REF!+#REF!+#REF!+#REF!+#REF!</f>
        <v>#REF!</v>
      </c>
      <c r="K23" s="15" t="e">
        <f>#REF!+#REF!+#REF!+#REF!+#REF!+#REF!+#REF!+#REF!+#REF!+#REF!+#REF!+#REF!+#REF!+#REF!</f>
        <v>#REF!</v>
      </c>
    </row>
    <row r="24" spans="1:11" ht="54">
      <c r="A24" s="41" t="s">
        <v>300</v>
      </c>
      <c r="B24" s="38" t="s">
        <v>19</v>
      </c>
      <c r="C24" s="39" t="s">
        <v>86</v>
      </c>
      <c r="D24" s="367" t="s">
        <v>318</v>
      </c>
      <c r="E24" s="25" t="s">
        <v>0</v>
      </c>
      <c r="F24" s="50">
        <v>182.35</v>
      </c>
      <c r="G24" s="50">
        <f>'Planilha Geral'!G28</f>
        <v>32.846994</v>
      </c>
      <c r="H24" s="107">
        <f>F24*G24</f>
        <v>5989.6493559</v>
      </c>
      <c r="I24" s="19"/>
      <c r="K24" s="15"/>
    </row>
    <row r="25" spans="1:9" ht="18">
      <c r="A25" s="388" t="s">
        <v>8</v>
      </c>
      <c r="B25" s="389"/>
      <c r="C25" s="389"/>
      <c r="D25" s="389"/>
      <c r="E25" s="389"/>
      <c r="F25" s="389"/>
      <c r="G25" s="283"/>
      <c r="H25" s="108">
        <f>SUM(H23:H24)</f>
        <v>7299.7293559</v>
      </c>
      <c r="I25" s="66" t="e">
        <f>SUM(I23:I23)</f>
        <v>#REF!</v>
      </c>
    </row>
    <row r="26" spans="1:9" s="90" customFormat="1" ht="18">
      <c r="A26" s="87"/>
      <c r="B26" s="88"/>
      <c r="C26" s="88"/>
      <c r="D26" s="88"/>
      <c r="E26" s="88"/>
      <c r="F26" s="88"/>
      <c r="G26" s="88"/>
      <c r="H26" s="112"/>
      <c r="I26" s="89"/>
    </row>
    <row r="27" spans="1:9" s="9" customFormat="1" ht="18">
      <c r="A27" s="126" t="s">
        <v>63</v>
      </c>
      <c r="B27" s="127"/>
      <c r="C27" s="128"/>
      <c r="D27" s="28" t="s">
        <v>56</v>
      </c>
      <c r="E27" s="129"/>
      <c r="F27" s="130"/>
      <c r="G27" s="131"/>
      <c r="H27" s="132"/>
      <c r="I27" s="19"/>
    </row>
    <row r="28" spans="1:9" s="9" customFormat="1" ht="39" customHeight="1">
      <c r="A28" s="41" t="s">
        <v>64</v>
      </c>
      <c r="B28" s="38" t="s">
        <v>259</v>
      </c>
      <c r="C28" s="39"/>
      <c r="D28" s="142" t="s">
        <v>258</v>
      </c>
      <c r="E28" s="25" t="s">
        <v>0</v>
      </c>
      <c r="F28" s="92">
        <v>4.62</v>
      </c>
      <c r="G28" s="50">
        <f>'Planilha Geral'!G39</f>
        <v>3550.4014481369995</v>
      </c>
      <c r="H28" s="107">
        <f>F28*G28</f>
        <v>16402.85469039294</v>
      </c>
      <c r="I28" s="19"/>
    </row>
    <row r="29" spans="1:9" ht="18">
      <c r="A29" s="388" t="s">
        <v>8</v>
      </c>
      <c r="B29" s="389"/>
      <c r="C29" s="389"/>
      <c r="D29" s="389"/>
      <c r="E29" s="389"/>
      <c r="F29" s="389"/>
      <c r="G29" s="283"/>
      <c r="H29" s="108">
        <f>SUM(H28:H28)</f>
        <v>16402.85469039294</v>
      </c>
      <c r="I29" s="66" t="e">
        <f>SUM(#REF!)</f>
        <v>#REF!</v>
      </c>
    </row>
    <row r="30" spans="1:11" s="10" customFormat="1" ht="18.75" thickBot="1">
      <c r="A30" s="390" t="s">
        <v>33</v>
      </c>
      <c r="B30" s="391"/>
      <c r="C30" s="391"/>
      <c r="D30" s="391"/>
      <c r="E30" s="391"/>
      <c r="F30" s="391"/>
      <c r="G30" s="282"/>
      <c r="H30" s="109">
        <f>H29+H25</f>
        <v>23702.584046292937</v>
      </c>
      <c r="I30" s="67" t="e">
        <f>#REF!+#REF!+#REF!+#REF!+#REF!+#REF!+I25</f>
        <v>#REF!</v>
      </c>
      <c r="K30" s="11"/>
    </row>
    <row r="31" spans="1:11" s="10" customFormat="1" ht="18">
      <c r="A31" s="81"/>
      <c r="B31" s="74"/>
      <c r="C31" s="75"/>
      <c r="D31" s="74"/>
      <c r="E31" s="74"/>
      <c r="F31" s="76"/>
      <c r="G31" s="76"/>
      <c r="H31" s="113"/>
      <c r="I31" s="21"/>
      <c r="K31" s="11"/>
    </row>
    <row r="32" spans="1:9" s="9" customFormat="1" ht="18">
      <c r="A32" s="82">
        <v>4</v>
      </c>
      <c r="B32" s="29"/>
      <c r="C32" s="30"/>
      <c r="D32" s="77" t="s">
        <v>9</v>
      </c>
      <c r="E32" s="31"/>
      <c r="F32" s="48"/>
      <c r="G32" s="49"/>
      <c r="H32" s="60"/>
      <c r="I32" s="19"/>
    </row>
    <row r="33" spans="1:13" s="4" customFormat="1" ht="54">
      <c r="A33" s="41" t="s">
        <v>24</v>
      </c>
      <c r="B33" s="371" t="s">
        <v>57</v>
      </c>
      <c r="C33" s="372" t="s">
        <v>313</v>
      </c>
      <c r="D33" s="373" t="s">
        <v>314</v>
      </c>
      <c r="E33" s="97" t="s">
        <v>5</v>
      </c>
      <c r="F33" s="50">
        <v>490.53999999999996</v>
      </c>
      <c r="G33" s="50">
        <f>'Planilha Geral'!G44</f>
        <v>54.080504999999995</v>
      </c>
      <c r="H33" s="107">
        <f>F33*G33</f>
        <v>26528.650922699995</v>
      </c>
      <c r="I33" s="19" t="e">
        <f>#REF!+#REF!+#REF!+#REF!+#REF!+#REF!+#REF!+#REF!+#REF!+#REF!+#REF!+#REF!+#REF!+#REF!+#REF!</f>
        <v>#REF!</v>
      </c>
      <c r="K33" s="15" t="e">
        <f>#REF!+#REF!+#REF!+#REF!+#REF!+#REF!+#REF!+#REF!+#REF!+#REF!+#REF!+#REF!+#REF!+#REF!</f>
        <v>#REF!</v>
      </c>
      <c r="M33" s="22" t="e">
        <f>#REF!-#REF!</f>
        <v>#REF!</v>
      </c>
    </row>
    <row r="34" spans="1:11" s="4" customFormat="1" ht="72">
      <c r="A34" s="41" t="s">
        <v>41</v>
      </c>
      <c r="B34" s="42" t="s">
        <v>57</v>
      </c>
      <c r="C34" s="43" t="s">
        <v>59</v>
      </c>
      <c r="D34" s="27" t="s">
        <v>60</v>
      </c>
      <c r="E34" s="25" t="s">
        <v>0</v>
      </c>
      <c r="F34" s="50">
        <v>36.23</v>
      </c>
      <c r="G34" s="50">
        <f>'Planilha Geral'!G45</f>
        <v>24.30729</v>
      </c>
      <c r="H34" s="107">
        <f>F34*G34</f>
        <v>880.6531166999998</v>
      </c>
      <c r="I34" s="19" t="e">
        <f>#REF!+#REF!+#REF!+#REF!+#REF!+#REF!+#REF!+#REF!+#REF!+#REF!+#REF!+#REF!+#REF!+#REF!+#REF!</f>
        <v>#REF!</v>
      </c>
      <c r="K34" s="15" t="e">
        <f>#REF!+#REF!+#REF!+#REF!+#REF!+#REF!+#REF!+#REF!+#REF!+#REF!+#REF!+#REF!+#REF!+#REF!</f>
        <v>#REF!</v>
      </c>
    </row>
    <row r="35" spans="1:11" s="4" customFormat="1" ht="90">
      <c r="A35" s="41" t="s">
        <v>25</v>
      </c>
      <c r="B35" s="42" t="s">
        <v>57</v>
      </c>
      <c r="C35" s="43" t="s">
        <v>72</v>
      </c>
      <c r="D35" s="27" t="s">
        <v>73</v>
      </c>
      <c r="E35" s="25" t="s">
        <v>5</v>
      </c>
      <c r="F35" s="50">
        <v>89.92</v>
      </c>
      <c r="G35" s="50">
        <f>'Planilha Geral'!G46</f>
        <v>43.122933</v>
      </c>
      <c r="H35" s="107">
        <f>F35*G35</f>
        <v>3877.6141353600005</v>
      </c>
      <c r="I35" s="19"/>
      <c r="K35" s="15"/>
    </row>
    <row r="36" spans="1:11" s="4" customFormat="1" ht="36">
      <c r="A36" s="41" t="s">
        <v>26</v>
      </c>
      <c r="B36" s="42" t="s">
        <v>19</v>
      </c>
      <c r="C36" s="43" t="s">
        <v>102</v>
      </c>
      <c r="D36" s="27" t="s">
        <v>103</v>
      </c>
      <c r="E36" s="25" t="s">
        <v>0</v>
      </c>
      <c r="F36" s="50">
        <v>5.300000000000001</v>
      </c>
      <c r="G36" s="50">
        <f>'Planilha Geral'!G47</f>
        <v>43.95</v>
      </c>
      <c r="H36" s="107">
        <f>F36*G36</f>
        <v>232.93500000000006</v>
      </c>
      <c r="I36" s="19"/>
      <c r="K36" s="15"/>
    </row>
    <row r="37" spans="1:9" s="4" customFormat="1" ht="18">
      <c r="A37" s="388" t="s">
        <v>8</v>
      </c>
      <c r="B37" s="389"/>
      <c r="C37" s="389"/>
      <c r="D37" s="389"/>
      <c r="E37" s="389"/>
      <c r="F37" s="389"/>
      <c r="G37" s="283"/>
      <c r="H37" s="108">
        <f>SUM(H33:H36)</f>
        <v>31519.853174759995</v>
      </c>
      <c r="I37" s="65" t="e">
        <f>SUM(I33:I34)</f>
        <v>#REF!</v>
      </c>
    </row>
    <row r="38" spans="1:11" ht="18">
      <c r="A38" s="390" t="s">
        <v>23</v>
      </c>
      <c r="B38" s="391"/>
      <c r="C38" s="391"/>
      <c r="D38" s="391"/>
      <c r="E38" s="391"/>
      <c r="F38" s="391"/>
      <c r="G38" s="282"/>
      <c r="H38" s="109">
        <f>H37</f>
        <v>31519.853174759995</v>
      </c>
      <c r="I38" s="68" t="e">
        <f>SUM(I33:I34)</f>
        <v>#REF!</v>
      </c>
      <c r="K38" s="12"/>
    </row>
    <row r="39" spans="1:11" ht="18">
      <c r="A39" s="83"/>
      <c r="B39" s="78"/>
      <c r="C39" s="78"/>
      <c r="D39" s="78"/>
      <c r="E39" s="42"/>
      <c r="F39" s="50"/>
      <c r="G39" s="70"/>
      <c r="H39" s="106"/>
      <c r="I39" s="69"/>
      <c r="K39" s="12"/>
    </row>
    <row r="40" spans="1:11" ht="18">
      <c r="A40" s="82" t="s">
        <v>66</v>
      </c>
      <c r="B40" s="29"/>
      <c r="C40" s="30"/>
      <c r="D40" s="77" t="s">
        <v>38</v>
      </c>
      <c r="E40" s="31"/>
      <c r="F40" s="48"/>
      <c r="G40" s="49"/>
      <c r="H40" s="60"/>
      <c r="I40" s="69"/>
      <c r="K40" s="12"/>
    </row>
    <row r="41" spans="1:11" ht="36">
      <c r="A41" s="41" t="s">
        <v>67</v>
      </c>
      <c r="B41" s="38" t="s">
        <v>19</v>
      </c>
      <c r="C41" s="43" t="s">
        <v>54</v>
      </c>
      <c r="D41" s="27" t="s">
        <v>53</v>
      </c>
      <c r="E41" s="25" t="s">
        <v>5</v>
      </c>
      <c r="F41" s="50">
        <v>1.1304</v>
      </c>
      <c r="G41" s="50">
        <f>'Planilha Geral'!G54</f>
        <v>401.26</v>
      </c>
      <c r="H41" s="107">
        <f>F41*G41</f>
        <v>453.58430400000003</v>
      </c>
      <c r="I41" s="69"/>
      <c r="K41" s="12"/>
    </row>
    <row r="42" spans="1:11" ht="18">
      <c r="A42" s="388" t="s">
        <v>8</v>
      </c>
      <c r="B42" s="389"/>
      <c r="C42" s="389"/>
      <c r="D42" s="389"/>
      <c r="E42" s="389"/>
      <c r="F42" s="389"/>
      <c r="G42" s="283"/>
      <c r="H42" s="108">
        <f>SUM(H41:H41)</f>
        <v>453.58430400000003</v>
      </c>
      <c r="I42" s="69"/>
      <c r="K42" s="12"/>
    </row>
    <row r="43" spans="1:11" ht="18">
      <c r="A43" s="390" t="s">
        <v>71</v>
      </c>
      <c r="B43" s="391"/>
      <c r="C43" s="391"/>
      <c r="D43" s="391"/>
      <c r="E43" s="391"/>
      <c r="F43" s="391"/>
      <c r="G43" s="282"/>
      <c r="H43" s="109">
        <f>H42</f>
        <v>453.58430400000003</v>
      </c>
      <c r="I43" s="69"/>
      <c r="K43" s="12"/>
    </row>
    <row r="44" spans="1:11" ht="18">
      <c r="A44" s="84"/>
      <c r="B44" s="79"/>
      <c r="C44" s="79"/>
      <c r="D44" s="79"/>
      <c r="E44" s="79"/>
      <c r="F44" s="80"/>
      <c r="G44" s="80"/>
      <c r="H44" s="114"/>
      <c r="I44" s="69"/>
      <c r="K44" s="12"/>
    </row>
    <row r="45" spans="1:11" ht="18">
      <c r="A45" s="82" t="s">
        <v>68</v>
      </c>
      <c r="B45" s="29"/>
      <c r="C45" s="30"/>
      <c r="D45" s="77" t="s">
        <v>45</v>
      </c>
      <c r="E45" s="31"/>
      <c r="F45" s="48"/>
      <c r="G45" s="49"/>
      <c r="H45" s="60"/>
      <c r="I45" s="69"/>
      <c r="K45" s="12"/>
    </row>
    <row r="46" spans="1:11" ht="18">
      <c r="A46" s="41" t="s">
        <v>42</v>
      </c>
      <c r="B46" s="38" t="s">
        <v>107</v>
      </c>
      <c r="C46" s="43" t="s">
        <v>108</v>
      </c>
      <c r="D46" s="27" t="s">
        <v>109</v>
      </c>
      <c r="E46" s="25" t="s">
        <v>6</v>
      </c>
      <c r="F46" s="92">
        <v>1.265</v>
      </c>
      <c r="G46" s="223">
        <f>'Planilha Geral'!G59</f>
        <v>102.42184118</v>
      </c>
      <c r="H46" s="107">
        <f>F46*G46</f>
        <v>129.56362909269998</v>
      </c>
      <c r="I46" s="69"/>
      <c r="K46" s="12"/>
    </row>
    <row r="47" spans="1:11" ht="18">
      <c r="A47" s="41" t="s">
        <v>85</v>
      </c>
      <c r="B47" s="38" t="s">
        <v>57</v>
      </c>
      <c r="C47" s="43" t="s">
        <v>110</v>
      </c>
      <c r="D47" s="27" t="s">
        <v>111</v>
      </c>
      <c r="E47" s="25" t="s">
        <v>5</v>
      </c>
      <c r="F47" s="92">
        <v>12.65</v>
      </c>
      <c r="G47" s="50">
        <f>'Planilha Geral'!G60</f>
        <v>13.362579</v>
      </c>
      <c r="H47" s="107">
        <f>F47*G47</f>
        <v>169.03662435</v>
      </c>
      <c r="I47" s="69"/>
      <c r="K47" s="12"/>
    </row>
    <row r="48" spans="1:11" ht="18">
      <c r="A48" s="388" t="s">
        <v>8</v>
      </c>
      <c r="B48" s="389"/>
      <c r="C48" s="389"/>
      <c r="D48" s="389"/>
      <c r="E48" s="389"/>
      <c r="F48" s="389"/>
      <c r="G48" s="283"/>
      <c r="H48" s="108">
        <f>SUM(H46:H47)</f>
        <v>298.6002534427</v>
      </c>
      <c r="I48" s="69"/>
      <c r="K48" s="12"/>
    </row>
    <row r="49" spans="1:11" ht="18">
      <c r="A49" s="390" t="s">
        <v>40</v>
      </c>
      <c r="B49" s="391"/>
      <c r="C49" s="391"/>
      <c r="D49" s="391"/>
      <c r="E49" s="391"/>
      <c r="F49" s="391"/>
      <c r="G49" s="282"/>
      <c r="H49" s="109">
        <f>H48</f>
        <v>298.6002534427</v>
      </c>
      <c r="I49" s="69"/>
      <c r="K49" s="12"/>
    </row>
    <row r="50" spans="1:11" ht="18">
      <c r="A50" s="81"/>
      <c r="B50" s="74"/>
      <c r="C50" s="74"/>
      <c r="D50" s="74"/>
      <c r="E50" s="74"/>
      <c r="F50" s="76"/>
      <c r="G50" s="76"/>
      <c r="H50" s="113"/>
      <c r="I50" s="69"/>
      <c r="K50" s="12"/>
    </row>
    <row r="51" spans="1:11" ht="18.75" thickBot="1">
      <c r="A51" s="392" t="s">
        <v>10</v>
      </c>
      <c r="B51" s="393"/>
      <c r="C51" s="393"/>
      <c r="D51" s="393"/>
      <c r="E51" s="393"/>
      <c r="F51" s="393"/>
      <c r="G51" s="284"/>
      <c r="H51" s="225">
        <f>H49+H43+H38+H30+H19+H11</f>
        <v>55974.62177849563</v>
      </c>
      <c r="I51" s="105" t="e">
        <f>#REF!+I30+I38+#REF!</f>
        <v>#REF!</v>
      </c>
      <c r="K51" s="13"/>
    </row>
    <row r="52" spans="1:8" ht="18" customHeight="1">
      <c r="A52" s="379"/>
      <c r="B52" s="380"/>
      <c r="C52" s="380"/>
      <c r="D52" s="380"/>
      <c r="E52" s="380"/>
      <c r="F52" s="380"/>
      <c r="G52" s="380"/>
      <c r="H52" s="381"/>
    </row>
    <row r="53" spans="1:8" ht="18" customHeight="1">
      <c r="A53" s="382" t="s">
        <v>48</v>
      </c>
      <c r="B53" s="383"/>
      <c r="C53" s="383"/>
      <c r="D53" s="383"/>
      <c r="E53" s="383"/>
      <c r="F53" s="383"/>
      <c r="G53" s="383"/>
      <c r="H53" s="384"/>
    </row>
    <row r="54" spans="1:8" ht="15.75" customHeight="1">
      <c r="A54" s="385" t="s">
        <v>49</v>
      </c>
      <c r="B54" s="386"/>
      <c r="C54" s="386"/>
      <c r="D54" s="386"/>
      <c r="E54" s="386"/>
      <c r="F54" s="386"/>
      <c r="G54" s="386"/>
      <c r="H54" s="387"/>
    </row>
    <row r="55" spans="1:8" ht="18" customHeight="1">
      <c r="A55" s="385" t="s">
        <v>50</v>
      </c>
      <c r="B55" s="386"/>
      <c r="C55" s="386"/>
      <c r="D55" s="386"/>
      <c r="E55" s="386"/>
      <c r="F55" s="386"/>
      <c r="G55" s="386"/>
      <c r="H55" s="387"/>
    </row>
    <row r="56" spans="1:8" ht="18" customHeight="1" thickBot="1">
      <c r="A56" s="85"/>
      <c r="B56" s="86"/>
      <c r="C56" s="86"/>
      <c r="D56" s="86"/>
      <c r="E56" s="86"/>
      <c r="F56" s="86"/>
      <c r="G56" s="86"/>
      <c r="H56" s="115"/>
    </row>
    <row r="57" spans="1:8" ht="18">
      <c r="A57" s="36"/>
      <c r="B57" s="36"/>
      <c r="C57" s="34"/>
      <c r="D57" s="45"/>
      <c r="E57" s="35"/>
      <c r="F57" s="51"/>
      <c r="G57" s="52"/>
      <c r="H57" s="53"/>
    </row>
    <row r="58" spans="1:8" ht="15">
      <c r="A58" s="14"/>
      <c r="B58" s="20"/>
      <c r="C58" s="23"/>
      <c r="D58" s="46"/>
      <c r="E58" s="8"/>
      <c r="F58" s="54"/>
      <c r="G58" s="55"/>
      <c r="H58" s="56"/>
    </row>
  </sheetData>
  <sheetProtection/>
  <mergeCells count="27">
    <mergeCell ref="A1:H2"/>
    <mergeCell ref="A3:H3"/>
    <mergeCell ref="A4:D5"/>
    <mergeCell ref="E4:H4"/>
    <mergeCell ref="E5:H5"/>
    <mergeCell ref="A6:D6"/>
    <mergeCell ref="E6:H6"/>
    <mergeCell ref="A7:D7"/>
    <mergeCell ref="E7:H8"/>
    <mergeCell ref="A8:C8"/>
    <mergeCell ref="A11:F11"/>
    <mergeCell ref="A18:F18"/>
    <mergeCell ref="A19:F19"/>
    <mergeCell ref="A25:F25"/>
    <mergeCell ref="A29:F29"/>
    <mergeCell ref="A30:F30"/>
    <mergeCell ref="A37:F37"/>
    <mergeCell ref="A38:F38"/>
    <mergeCell ref="A52:H52"/>
    <mergeCell ref="A53:H53"/>
    <mergeCell ref="A54:H54"/>
    <mergeCell ref="A55:H55"/>
    <mergeCell ref="A42:F42"/>
    <mergeCell ref="A43:F43"/>
    <mergeCell ref="A48:F48"/>
    <mergeCell ref="A49:F49"/>
    <mergeCell ref="A51:F51"/>
  </mergeCells>
  <printOptions/>
  <pageMargins left="0.511811024" right="0.511811024" top="0.787401575" bottom="0.787401575" header="0.31496062" footer="0.31496062"/>
  <pageSetup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60" zoomScalePageLayoutView="0" workbookViewId="0" topLeftCell="A29">
      <selection activeCell="F47" sqref="F47"/>
    </sheetView>
  </sheetViews>
  <sheetFormatPr defaultColWidth="9.140625" defaultRowHeight="15"/>
  <cols>
    <col min="1" max="1" width="10.140625" style="2" customWidth="1"/>
    <col min="2" max="2" width="13.7109375" style="2" customWidth="1"/>
    <col min="3" max="3" width="16.14062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58" customWidth="1"/>
    <col min="8" max="8" width="18.140625" style="59" customWidth="1"/>
    <col min="9" max="9" width="26.7109375" style="17" customWidth="1"/>
    <col min="10" max="10" width="9.140625" style="5" customWidth="1"/>
    <col min="11" max="11" width="16.00390625" style="5" customWidth="1"/>
    <col min="12" max="12" width="9.140625" style="5" customWidth="1"/>
    <col min="13" max="13" width="9.57421875" style="5" bestFit="1" customWidth="1"/>
    <col min="14" max="16384" width="9.140625" style="5" customWidth="1"/>
  </cols>
  <sheetData>
    <row r="1" spans="1:8" ht="36" customHeight="1">
      <c r="A1" s="405" t="s">
        <v>34</v>
      </c>
      <c r="B1" s="406"/>
      <c r="C1" s="406"/>
      <c r="D1" s="406"/>
      <c r="E1" s="406"/>
      <c r="F1" s="406"/>
      <c r="G1" s="406"/>
      <c r="H1" s="407"/>
    </row>
    <row r="2" spans="1:8" ht="53.25" customHeight="1" thickBot="1">
      <c r="A2" s="408"/>
      <c r="B2" s="409"/>
      <c r="C2" s="409"/>
      <c r="D2" s="409"/>
      <c r="E2" s="409"/>
      <c r="F2" s="409"/>
      <c r="G2" s="409"/>
      <c r="H2" s="410"/>
    </row>
    <row r="3" spans="1:8" ht="21" customHeight="1">
      <c r="A3" s="411" t="s">
        <v>174</v>
      </c>
      <c r="B3" s="412"/>
      <c r="C3" s="412"/>
      <c r="D3" s="412"/>
      <c r="E3" s="412"/>
      <c r="F3" s="412"/>
      <c r="G3" s="412"/>
      <c r="H3" s="413"/>
    </row>
    <row r="4" spans="1:9" ht="18">
      <c r="A4" s="414" t="s">
        <v>126</v>
      </c>
      <c r="B4" s="415"/>
      <c r="C4" s="415"/>
      <c r="D4" s="415"/>
      <c r="E4" s="499" t="s">
        <v>75</v>
      </c>
      <c r="F4" s="499"/>
      <c r="G4" s="499"/>
      <c r="H4" s="500"/>
      <c r="I4"/>
    </row>
    <row r="5" spans="1:8" ht="18">
      <c r="A5" s="414"/>
      <c r="B5" s="415"/>
      <c r="C5" s="415"/>
      <c r="D5" s="415"/>
      <c r="E5" s="499" t="s">
        <v>27</v>
      </c>
      <c r="F5" s="499"/>
      <c r="G5" s="499"/>
      <c r="H5" s="500"/>
    </row>
    <row r="6" spans="1:10" ht="57" customHeight="1">
      <c r="A6" s="501" t="s">
        <v>28</v>
      </c>
      <c r="B6" s="502"/>
      <c r="C6" s="502"/>
      <c r="D6" s="502"/>
      <c r="E6" s="503" t="s">
        <v>74</v>
      </c>
      <c r="F6" s="503"/>
      <c r="G6" s="503"/>
      <c r="H6" s="504"/>
      <c r="J6"/>
    </row>
    <row r="7" spans="1:8" ht="55.5" customHeight="1">
      <c r="A7" s="508" t="s">
        <v>51</v>
      </c>
      <c r="B7" s="509"/>
      <c r="C7" s="509"/>
      <c r="D7" s="509"/>
      <c r="E7" s="510" t="s">
        <v>81</v>
      </c>
      <c r="F7" s="510"/>
      <c r="G7" s="510"/>
      <c r="H7" s="511"/>
    </row>
    <row r="8" spans="1:14" s="6" customFormat="1" ht="33" customHeight="1">
      <c r="A8" s="497" t="s">
        <v>127</v>
      </c>
      <c r="B8" s="498"/>
      <c r="C8" s="498"/>
      <c r="D8" s="152" t="s">
        <v>76</v>
      </c>
      <c r="E8" s="510"/>
      <c r="F8" s="510"/>
      <c r="G8" s="510"/>
      <c r="H8" s="511"/>
      <c r="I8" s="18"/>
      <c r="K8" s="5"/>
      <c r="L8" s="5"/>
      <c r="M8" s="5"/>
      <c r="N8" s="5"/>
    </row>
    <row r="9" spans="1:14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58" t="s">
        <v>3</v>
      </c>
      <c r="H9" s="159" t="s">
        <v>4</v>
      </c>
      <c r="I9" s="19"/>
      <c r="J9" s="285">
        <f>'Planilha Geral'!H4</f>
        <v>1.2861</v>
      </c>
      <c r="K9" s="1"/>
      <c r="L9" s="1"/>
      <c r="M9" s="1"/>
      <c r="N9" s="1"/>
    </row>
    <row r="10" spans="1:14" s="7" customFormat="1" ht="18">
      <c r="A10" s="40">
        <v>1</v>
      </c>
      <c r="B10" s="121"/>
      <c r="C10" s="122"/>
      <c r="D10" s="77" t="s">
        <v>18</v>
      </c>
      <c r="E10" s="121"/>
      <c r="F10" s="123"/>
      <c r="G10" s="124"/>
      <c r="H10" s="125"/>
      <c r="I10" s="19"/>
      <c r="K10" s="1"/>
      <c r="L10" s="1"/>
      <c r="M10" s="1"/>
      <c r="N10" s="1"/>
    </row>
    <row r="11" spans="1:11" s="10" customFormat="1" ht="18.75" thickBot="1">
      <c r="A11" s="390" t="s">
        <v>175</v>
      </c>
      <c r="B11" s="391"/>
      <c r="C11" s="391"/>
      <c r="D11" s="391"/>
      <c r="E11" s="391"/>
      <c r="F11" s="391"/>
      <c r="G11" s="282"/>
      <c r="H11" s="109"/>
      <c r="I11" s="67" t="e">
        <f>I3+#REF!+#REF!+#REF!+#REF!+#REF!+I8</f>
        <v>#REF!</v>
      </c>
      <c r="K11" s="11"/>
    </row>
    <row r="12" spans="1:11" s="10" customFormat="1" ht="18">
      <c r="A12" s="133"/>
      <c r="B12" s="44"/>
      <c r="C12" s="44"/>
      <c r="D12" s="44"/>
      <c r="E12" s="44"/>
      <c r="F12" s="44"/>
      <c r="G12" s="44"/>
      <c r="H12" s="106"/>
      <c r="I12" s="21"/>
      <c r="K12" s="11"/>
    </row>
    <row r="13" spans="1:14" s="7" customFormat="1" ht="18">
      <c r="A13" s="40">
        <v>2</v>
      </c>
      <c r="B13" s="121"/>
      <c r="C13" s="122"/>
      <c r="D13" s="77" t="s">
        <v>16</v>
      </c>
      <c r="E13" s="121"/>
      <c r="F13" s="123"/>
      <c r="G13" s="124"/>
      <c r="H13" s="125"/>
      <c r="I13" s="19"/>
      <c r="K13" s="1"/>
      <c r="L13" s="1"/>
      <c r="M13" s="1"/>
      <c r="N13" s="1"/>
    </row>
    <row r="14" spans="1:14" s="7" customFormat="1" ht="36">
      <c r="A14" s="37" t="s">
        <v>12</v>
      </c>
      <c r="B14" s="38" t="s">
        <v>20</v>
      </c>
      <c r="C14" s="39" t="s">
        <v>46</v>
      </c>
      <c r="D14" s="26" t="s">
        <v>35</v>
      </c>
      <c r="E14" s="25" t="s">
        <v>6</v>
      </c>
      <c r="F14" s="50"/>
      <c r="G14" s="50" t="s">
        <v>52</v>
      </c>
      <c r="H14" s="107"/>
      <c r="I14" s="19" t="e">
        <f>#REF!+#REF!+#REF!+#REF!++#REF!+#REF!+#REF!+#REF!+#REF!+#REF!+#REF!+#REF!+#REF!+#REF!</f>
        <v>#REF!</v>
      </c>
      <c r="J14" s="15"/>
      <c r="K14" s="15" t="e">
        <f>#REF!+#REF!+#REF!+#REF!+#REF!+#REF!+#REF!+#REF!+#REF!+#REF!+#REF!+#REF!+#REF!+#REF!</f>
        <v>#REF!</v>
      </c>
      <c r="L14" s="1"/>
      <c r="M14" s="16" t="e">
        <f>H14-I14</f>
        <v>#REF!</v>
      </c>
      <c r="N14" s="1"/>
    </row>
    <row r="15" spans="1:14" s="7" customFormat="1" ht="18">
      <c r="A15" s="37" t="s">
        <v>13</v>
      </c>
      <c r="B15" s="38" t="s">
        <v>20</v>
      </c>
      <c r="C15" s="39" t="s">
        <v>47</v>
      </c>
      <c r="D15" s="26" t="s">
        <v>29</v>
      </c>
      <c r="E15" s="25" t="s">
        <v>6</v>
      </c>
      <c r="F15" s="50"/>
      <c r="G15" s="50" t="s">
        <v>52</v>
      </c>
      <c r="H15" s="107"/>
      <c r="I15" s="19" t="e">
        <f>#REF!+#REF!+#REF!+#REF!++#REF!+#REF!+#REF!+#REF!+#REF!+#REF!+#REF!+#REF!+#REF!+#REF!</f>
        <v>#REF!</v>
      </c>
      <c r="K15" s="15" t="e">
        <f>#REF!+#REF!+#REF!+#REF!+#REF!+#REF!+#REF!+#REF!+#REF!+#REF!+#REF!+#REF!+#REF!+#REF!</f>
        <v>#REF!</v>
      </c>
      <c r="L15" s="1"/>
      <c r="M15" s="16" t="e">
        <f>H15-I15</f>
        <v>#REF!</v>
      </c>
      <c r="N15" s="1"/>
    </row>
    <row r="16" spans="1:14" s="101" customFormat="1" ht="72">
      <c r="A16" s="98" t="s">
        <v>14</v>
      </c>
      <c r="B16" s="91" t="s">
        <v>57</v>
      </c>
      <c r="C16" s="96" t="s">
        <v>58</v>
      </c>
      <c r="D16" s="102" t="s">
        <v>30</v>
      </c>
      <c r="E16" s="97" t="s">
        <v>6</v>
      </c>
      <c r="F16" s="92"/>
      <c r="G16" s="92" t="s">
        <v>52</v>
      </c>
      <c r="H16" s="110"/>
      <c r="I16" s="93" t="e">
        <f>#REF!+#REF!+#REF!+#REF!++#REF!+#REF!+#REF!+#REF!+#REF!+#REF!+#REF!+#REF!+#REF!+#REF!</f>
        <v>#REF!</v>
      </c>
      <c r="K16" s="99" t="e">
        <f>#REF!+#REF!+#REF!+#REF!+#REF!+#REF!+#REF!+#REF!+#REF!+#REF!+#REF!+#REF!+#REF!+#REF!</f>
        <v>#REF!</v>
      </c>
      <c r="L16" s="100"/>
      <c r="M16" s="94" t="e">
        <f>H16-I16</f>
        <v>#REF!</v>
      </c>
      <c r="N16" s="100"/>
    </row>
    <row r="17" spans="1:14" s="7" customFormat="1" ht="36">
      <c r="A17" s="37" t="s">
        <v>15</v>
      </c>
      <c r="B17" s="38" t="s">
        <v>19</v>
      </c>
      <c r="C17" s="43" t="s">
        <v>39</v>
      </c>
      <c r="D17" s="27" t="s">
        <v>21</v>
      </c>
      <c r="E17" s="25" t="s">
        <v>5</v>
      </c>
      <c r="F17" s="50"/>
      <c r="G17" s="50" t="s">
        <v>52</v>
      </c>
      <c r="H17" s="107"/>
      <c r="I17" s="19"/>
      <c r="K17" s="15"/>
      <c r="L17" s="1"/>
      <c r="M17" s="16"/>
      <c r="N17" s="1"/>
    </row>
    <row r="18" spans="1:14" s="7" customFormat="1" ht="18">
      <c r="A18" s="388" t="s">
        <v>8</v>
      </c>
      <c r="B18" s="389"/>
      <c r="C18" s="389"/>
      <c r="D18" s="389"/>
      <c r="E18" s="389"/>
      <c r="F18" s="389"/>
      <c r="G18" s="283"/>
      <c r="H18" s="108">
        <f>SUM(H13:H17)</f>
        <v>0</v>
      </c>
      <c r="I18" s="64" t="e">
        <f>SUM(I13:I16)</f>
        <v>#REF!</v>
      </c>
      <c r="K18" s="1"/>
      <c r="L18" s="1"/>
      <c r="M18" s="16" t="e">
        <f>H18-I18</f>
        <v>#REF!</v>
      </c>
      <c r="N18" s="1"/>
    </row>
    <row r="19" spans="1:11" s="10" customFormat="1" ht="18.75" thickBot="1">
      <c r="A19" s="390" t="s">
        <v>69</v>
      </c>
      <c r="B19" s="391"/>
      <c r="C19" s="391"/>
      <c r="D19" s="391"/>
      <c r="E19" s="391"/>
      <c r="F19" s="391"/>
      <c r="G19" s="282"/>
      <c r="H19" s="109">
        <f>H18</f>
        <v>0</v>
      </c>
      <c r="I19" s="67" t="e">
        <f>I10+#REF!+#REF!+#REF!+#REF!+#REF!+I13</f>
        <v>#REF!</v>
      </c>
      <c r="K19" s="11"/>
    </row>
    <row r="20" spans="1:11" s="10" customFormat="1" ht="18">
      <c r="A20" s="133"/>
      <c r="B20" s="44"/>
      <c r="C20" s="44"/>
      <c r="D20" s="44"/>
      <c r="E20" s="44"/>
      <c r="F20" s="44"/>
      <c r="G20" s="44"/>
      <c r="H20" s="106"/>
      <c r="I20" s="21"/>
      <c r="K20" s="11"/>
    </row>
    <row r="21" spans="1:13" s="4" customFormat="1" ht="18">
      <c r="A21" s="40">
        <v>3</v>
      </c>
      <c r="B21" s="121"/>
      <c r="C21" s="122"/>
      <c r="D21" s="77" t="s">
        <v>11</v>
      </c>
      <c r="E21" s="121"/>
      <c r="F21" s="123"/>
      <c r="G21" s="123"/>
      <c r="H21" s="125"/>
      <c r="I21" s="19"/>
      <c r="K21" s="22"/>
      <c r="M21" s="16">
        <f>H21-I21</f>
        <v>0</v>
      </c>
    </row>
    <row r="22" spans="1:9" s="9" customFormat="1" ht="18">
      <c r="A22" s="126" t="s">
        <v>17</v>
      </c>
      <c r="B22" s="127"/>
      <c r="C22" s="128"/>
      <c r="D22" s="28" t="s">
        <v>11</v>
      </c>
      <c r="E22" s="129"/>
      <c r="F22" s="130"/>
      <c r="G22" s="131"/>
      <c r="H22" s="132"/>
      <c r="I22" s="19"/>
    </row>
    <row r="23" spans="1:11" ht="39" customHeight="1">
      <c r="A23" s="41" t="s">
        <v>31</v>
      </c>
      <c r="B23" s="38" t="s">
        <v>19</v>
      </c>
      <c r="C23" s="39" t="s">
        <v>36</v>
      </c>
      <c r="D23" s="33" t="s">
        <v>37</v>
      </c>
      <c r="E23" s="25" t="s">
        <v>0</v>
      </c>
      <c r="F23" s="50">
        <v>25.689999999999998</v>
      </c>
      <c r="G23" s="50">
        <f>'Planilha Geral'!G29</f>
        <v>327.52</v>
      </c>
      <c r="H23" s="107">
        <f aca="true" t="shared" si="0" ref="H23:H29">F23*G23</f>
        <v>8413.9888</v>
      </c>
      <c r="I23" s="19" t="e">
        <f>#REF!+#REF!+#REF!+#REF!+#REF!+#REF!+#REF!+#REF!+#REF!+#REF!+#REF!+#REF!+#REF!+#REF!</f>
        <v>#REF!</v>
      </c>
      <c r="K23" s="15" t="e">
        <f>#REF!+#REF!+#REF!+#REF!+#REF!+#REF!+#REF!+#REF!+#REF!+#REF!+#REF!+#REF!+#REF!+#REF!</f>
        <v>#REF!</v>
      </c>
    </row>
    <row r="24" spans="1:11" ht="72">
      <c r="A24" s="95" t="s">
        <v>300</v>
      </c>
      <c r="B24" s="38" t="s">
        <v>57</v>
      </c>
      <c r="C24" s="39" t="s">
        <v>77</v>
      </c>
      <c r="D24" s="33" t="s">
        <v>177</v>
      </c>
      <c r="E24" s="25" t="s">
        <v>6</v>
      </c>
      <c r="F24" s="50">
        <v>0.15</v>
      </c>
      <c r="G24" s="50">
        <f>'Planilha Geral'!G30</f>
        <v>463.433274</v>
      </c>
      <c r="H24" s="107">
        <f t="shared" si="0"/>
        <v>69.51499109999999</v>
      </c>
      <c r="I24" s="19"/>
      <c r="K24" s="15"/>
    </row>
    <row r="25" spans="1:11" ht="36">
      <c r="A25" s="95" t="s">
        <v>301</v>
      </c>
      <c r="B25" s="91" t="s">
        <v>19</v>
      </c>
      <c r="C25" s="96" t="s">
        <v>324</v>
      </c>
      <c r="D25" s="367" t="s">
        <v>322</v>
      </c>
      <c r="E25" s="97" t="s">
        <v>323</v>
      </c>
      <c r="F25" s="50">
        <v>107.66999999999999</v>
      </c>
      <c r="G25" s="50">
        <f>'Planilha Geral'!G31</f>
        <v>220.71</v>
      </c>
      <c r="H25" s="107">
        <f t="shared" si="0"/>
        <v>23763.845699999998</v>
      </c>
      <c r="I25" s="19"/>
      <c r="K25" s="15"/>
    </row>
    <row r="26" spans="1:11" ht="36">
      <c r="A26" s="95" t="s">
        <v>302</v>
      </c>
      <c r="B26" s="38" t="s">
        <v>19</v>
      </c>
      <c r="C26" s="39" t="s">
        <v>128</v>
      </c>
      <c r="D26" s="32" t="s">
        <v>129</v>
      </c>
      <c r="E26" s="25" t="s">
        <v>0</v>
      </c>
      <c r="F26" s="50">
        <v>19.559999999999995</v>
      </c>
      <c r="G26" s="50">
        <f>'Planilha Geral'!G34</f>
        <v>81.25</v>
      </c>
      <c r="H26" s="107">
        <f t="shared" si="0"/>
        <v>1589.2499999999995</v>
      </c>
      <c r="I26" s="19"/>
      <c r="K26" s="15"/>
    </row>
    <row r="27" spans="1:11" ht="108">
      <c r="A27" s="95" t="s">
        <v>303</v>
      </c>
      <c r="B27" s="91" t="s">
        <v>310</v>
      </c>
      <c r="C27" s="96" t="s">
        <v>311</v>
      </c>
      <c r="D27" s="367" t="s">
        <v>312</v>
      </c>
      <c r="E27" s="97" t="s">
        <v>32</v>
      </c>
      <c r="F27" s="50">
        <v>5</v>
      </c>
      <c r="G27" s="50">
        <f>'Planilha Geral'!G33</f>
        <v>1549.9819980000002</v>
      </c>
      <c r="H27" s="107">
        <f t="shared" si="0"/>
        <v>7749.909990000001</v>
      </c>
      <c r="I27" s="19"/>
      <c r="K27" s="15"/>
    </row>
    <row r="28" spans="1:10" ht="36">
      <c r="A28" s="95" t="s">
        <v>304</v>
      </c>
      <c r="B28" s="38" t="s">
        <v>19</v>
      </c>
      <c r="C28" s="39" t="s">
        <v>130</v>
      </c>
      <c r="D28" s="32" t="s">
        <v>131</v>
      </c>
      <c r="E28" s="25" t="s">
        <v>32</v>
      </c>
      <c r="F28" s="50">
        <v>8</v>
      </c>
      <c r="G28" s="50">
        <f>'Planilha Geral'!G35</f>
        <v>3586.01731085</v>
      </c>
      <c r="H28" s="107">
        <f t="shared" si="0"/>
        <v>28688.1384868</v>
      </c>
      <c r="I28" s="5"/>
      <c r="J28" s="15"/>
    </row>
    <row r="29" spans="1:10" ht="54">
      <c r="A29" s="95" t="s">
        <v>305</v>
      </c>
      <c r="B29" s="91" t="s">
        <v>57</v>
      </c>
      <c r="C29" s="96" t="s">
        <v>317</v>
      </c>
      <c r="D29" s="367" t="s">
        <v>318</v>
      </c>
      <c r="E29" s="97" t="s">
        <v>0</v>
      </c>
      <c r="F29" s="50">
        <v>337.82000000000005</v>
      </c>
      <c r="G29" s="50">
        <f>'Planilha Geral'!G28</f>
        <v>32.846994</v>
      </c>
      <c r="H29" s="107">
        <f t="shared" si="0"/>
        <v>11096.371513080003</v>
      </c>
      <c r="I29" s="5"/>
      <c r="J29" s="15"/>
    </row>
    <row r="30" spans="1:9" ht="18" customHeight="1">
      <c r="A30" s="518" t="s">
        <v>8</v>
      </c>
      <c r="B30" s="519"/>
      <c r="C30" s="519"/>
      <c r="D30" s="519"/>
      <c r="E30" s="519"/>
      <c r="F30" s="519"/>
      <c r="G30" s="283"/>
      <c r="H30" s="108">
        <f>SUM(H23:H29)</f>
        <v>81371.01948097999</v>
      </c>
      <c r="I30" s="66" t="e">
        <f>SUM(I23:I23)</f>
        <v>#REF!</v>
      </c>
    </row>
    <row r="31" spans="1:11" s="10" customFormat="1" ht="18.75" customHeight="1" thickBot="1">
      <c r="A31" s="390" t="s">
        <v>33</v>
      </c>
      <c r="B31" s="391"/>
      <c r="C31" s="391"/>
      <c r="D31" s="391"/>
      <c r="E31" s="391"/>
      <c r="F31" s="391"/>
      <c r="G31" s="282"/>
      <c r="H31" s="109">
        <f>H30</f>
        <v>81371.01948097999</v>
      </c>
      <c r="I31" s="67" t="e">
        <f>#REF!+#REF!+#REF!+#REF!+#REF!+#REF!+I30</f>
        <v>#REF!</v>
      </c>
      <c r="K31" s="11"/>
    </row>
    <row r="32" spans="1:11" s="10" customFormat="1" ht="18">
      <c r="A32" s="81"/>
      <c r="B32" s="74"/>
      <c r="C32" s="75"/>
      <c r="D32" s="74"/>
      <c r="E32" s="74"/>
      <c r="F32" s="76"/>
      <c r="G32" s="76"/>
      <c r="H32" s="113"/>
      <c r="I32" s="21"/>
      <c r="K32" s="11"/>
    </row>
    <row r="33" spans="1:9" s="9" customFormat="1" ht="18">
      <c r="A33" s="82">
        <v>4</v>
      </c>
      <c r="B33" s="29"/>
      <c r="C33" s="30"/>
      <c r="D33" s="77" t="s">
        <v>9</v>
      </c>
      <c r="E33" s="31"/>
      <c r="F33" s="48"/>
      <c r="G33" s="49"/>
      <c r="H33" s="60"/>
      <c r="I33" s="19"/>
    </row>
    <row r="34" spans="1:13" s="4" customFormat="1" ht="54">
      <c r="A34" s="41" t="s">
        <v>24</v>
      </c>
      <c r="B34" s="371" t="s">
        <v>57</v>
      </c>
      <c r="C34" s="372" t="s">
        <v>313</v>
      </c>
      <c r="D34" s="373" t="s">
        <v>314</v>
      </c>
      <c r="E34" s="97" t="s">
        <v>5</v>
      </c>
      <c r="F34" s="50">
        <v>865.49</v>
      </c>
      <c r="G34" s="50">
        <f>'Planilha Geral'!G44</f>
        <v>54.080504999999995</v>
      </c>
      <c r="H34" s="107">
        <f>F34*G34</f>
        <v>46806.13627245</v>
      </c>
      <c r="I34" s="19" t="e">
        <f>#REF!+#REF!+#REF!+#REF!+#REF!+#REF!+#REF!+#REF!+#REF!+#REF!+#REF!+#REF!+#REF!+#REF!+#REF!</f>
        <v>#REF!</v>
      </c>
      <c r="K34" s="15" t="e">
        <f>#REF!+#REF!+#REF!+#REF!+#REF!+#REF!+#REF!+#REF!+#REF!+#REF!+#REF!+#REF!+#REF!+#REF!</f>
        <v>#REF!</v>
      </c>
      <c r="M34" s="22" t="e">
        <f>#REF!-#REF!</f>
        <v>#REF!</v>
      </c>
    </row>
    <row r="35" spans="1:11" s="4" customFormat="1" ht="72">
      <c r="A35" s="41" t="s">
        <v>41</v>
      </c>
      <c r="B35" s="42" t="s">
        <v>57</v>
      </c>
      <c r="C35" s="43" t="s">
        <v>59</v>
      </c>
      <c r="D35" s="27" t="s">
        <v>60</v>
      </c>
      <c r="E35" s="25" t="s">
        <v>0</v>
      </c>
      <c r="F35" s="50">
        <v>74.61</v>
      </c>
      <c r="G35" s="50">
        <f>'Planilha Geral'!G45</f>
        <v>24.30729</v>
      </c>
      <c r="H35" s="107">
        <f>F35*G35</f>
        <v>1813.5669068999998</v>
      </c>
      <c r="I35" s="19" t="e">
        <f>#REF!+#REF!+#REF!+#REF!+#REF!+#REF!+#REF!+#REF!+#REF!+#REF!+#REF!+#REF!+#REF!+#REF!+#REF!</f>
        <v>#REF!</v>
      </c>
      <c r="K35" s="15" t="e">
        <f>#REF!+#REF!+#REF!+#REF!+#REF!+#REF!+#REF!+#REF!+#REF!+#REF!+#REF!+#REF!+#REF!+#REF!</f>
        <v>#REF!</v>
      </c>
    </row>
    <row r="36" spans="1:9" s="4" customFormat="1" ht="18">
      <c r="A36" s="388" t="s">
        <v>8</v>
      </c>
      <c r="B36" s="389"/>
      <c r="C36" s="389"/>
      <c r="D36" s="389"/>
      <c r="E36" s="389"/>
      <c r="F36" s="389"/>
      <c r="G36" s="283"/>
      <c r="H36" s="108">
        <f>SUM(H34:H35)</f>
        <v>48619.70317935</v>
      </c>
      <c r="I36" s="65" t="e">
        <f>SUM(I34:I35)</f>
        <v>#REF!</v>
      </c>
    </row>
    <row r="37" spans="1:11" ht="18">
      <c r="A37" s="390" t="s">
        <v>23</v>
      </c>
      <c r="B37" s="391"/>
      <c r="C37" s="391"/>
      <c r="D37" s="391"/>
      <c r="E37" s="391"/>
      <c r="F37" s="391"/>
      <c r="G37" s="282"/>
      <c r="H37" s="109">
        <f>H36</f>
        <v>48619.70317935</v>
      </c>
      <c r="I37" s="68" t="e">
        <f>SUM(I34:I35)</f>
        <v>#REF!</v>
      </c>
      <c r="K37" s="12"/>
    </row>
    <row r="38" spans="1:11" ht="18">
      <c r="A38" s="83"/>
      <c r="B38" s="78"/>
      <c r="C38" s="78"/>
      <c r="D38" s="78"/>
      <c r="E38" s="42"/>
      <c r="F38" s="50"/>
      <c r="G38" s="70"/>
      <c r="H38" s="106"/>
      <c r="I38" s="69"/>
      <c r="K38" s="12"/>
    </row>
    <row r="39" spans="1:11" ht="18">
      <c r="A39" s="82" t="s">
        <v>66</v>
      </c>
      <c r="B39" s="29"/>
      <c r="C39" s="30"/>
      <c r="D39" s="77" t="s">
        <v>38</v>
      </c>
      <c r="E39" s="31"/>
      <c r="F39" s="48"/>
      <c r="G39" s="49"/>
      <c r="H39" s="60"/>
      <c r="I39" s="69"/>
      <c r="K39" s="12"/>
    </row>
    <row r="40" spans="1:11" ht="36">
      <c r="A40" s="41" t="s">
        <v>67</v>
      </c>
      <c r="B40" s="38" t="s">
        <v>19</v>
      </c>
      <c r="C40" s="43" t="s">
        <v>54</v>
      </c>
      <c r="D40" s="27" t="s">
        <v>53</v>
      </c>
      <c r="E40" s="25" t="s">
        <v>5</v>
      </c>
      <c r="F40" s="50">
        <v>0.6426000000000001</v>
      </c>
      <c r="G40" s="50">
        <f>'Planilha Geral'!G54</f>
        <v>401.26</v>
      </c>
      <c r="H40" s="107">
        <f>F40*G40</f>
        <v>257.84967600000004</v>
      </c>
      <c r="I40" s="69"/>
      <c r="K40" s="12"/>
    </row>
    <row r="41" spans="1:11" ht="18">
      <c r="A41" s="388" t="s">
        <v>8</v>
      </c>
      <c r="B41" s="389"/>
      <c r="C41" s="389"/>
      <c r="D41" s="389"/>
      <c r="E41" s="389"/>
      <c r="F41" s="389"/>
      <c r="G41" s="283"/>
      <c r="H41" s="108">
        <f>SUM(H40:H40)</f>
        <v>257.84967600000004</v>
      </c>
      <c r="I41" s="69"/>
      <c r="K41" s="12"/>
    </row>
    <row r="42" spans="1:11" ht="18">
      <c r="A42" s="390" t="s">
        <v>71</v>
      </c>
      <c r="B42" s="391"/>
      <c r="C42" s="391"/>
      <c r="D42" s="391"/>
      <c r="E42" s="391"/>
      <c r="F42" s="391"/>
      <c r="G42" s="282"/>
      <c r="H42" s="109">
        <f>H41</f>
        <v>257.84967600000004</v>
      </c>
      <c r="I42" s="69"/>
      <c r="K42" s="12"/>
    </row>
    <row r="43" spans="1:11" ht="18">
      <c r="A43" s="84"/>
      <c r="B43" s="79"/>
      <c r="C43" s="79"/>
      <c r="D43" s="79"/>
      <c r="E43" s="79"/>
      <c r="F43" s="80"/>
      <c r="G43" s="80"/>
      <c r="H43" s="114"/>
      <c r="I43" s="69"/>
      <c r="K43" s="12"/>
    </row>
    <row r="44" spans="1:11" ht="18">
      <c r="A44" s="82" t="s">
        <v>68</v>
      </c>
      <c r="B44" s="29"/>
      <c r="C44" s="30"/>
      <c r="D44" s="77" t="s">
        <v>45</v>
      </c>
      <c r="E44" s="31"/>
      <c r="F44" s="48"/>
      <c r="G44" s="49"/>
      <c r="H44" s="60"/>
      <c r="I44" s="69"/>
      <c r="K44" s="12"/>
    </row>
    <row r="45" spans="1:11" ht="36">
      <c r="A45" s="41" t="s">
        <v>42</v>
      </c>
      <c r="B45" s="38" t="s">
        <v>57</v>
      </c>
      <c r="C45" s="43" t="s">
        <v>132</v>
      </c>
      <c r="D45" s="27" t="s">
        <v>133</v>
      </c>
      <c r="E45" s="25" t="s">
        <v>6</v>
      </c>
      <c r="F45" s="50">
        <v>15.021</v>
      </c>
      <c r="G45" s="50">
        <f>'Planilha Geral'!G61</f>
        <v>2174.769378</v>
      </c>
      <c r="H45" s="107">
        <f>F45*G45</f>
        <v>32667.210826938</v>
      </c>
      <c r="I45" s="69"/>
      <c r="K45" s="12"/>
    </row>
    <row r="46" spans="1:11" ht="36">
      <c r="A46" s="41" t="s">
        <v>85</v>
      </c>
      <c r="B46" s="38" t="s">
        <v>57</v>
      </c>
      <c r="C46" s="43" t="s">
        <v>134</v>
      </c>
      <c r="D46" s="27" t="s">
        <v>135</v>
      </c>
      <c r="E46" s="25" t="s">
        <v>0</v>
      </c>
      <c r="F46" s="50">
        <v>48.14</v>
      </c>
      <c r="G46" s="50">
        <f>'Planilha Geral'!G62</f>
        <v>65.153826</v>
      </c>
      <c r="H46" s="107">
        <f>F46*G46</f>
        <v>3136.50518364</v>
      </c>
      <c r="I46" s="69"/>
      <c r="K46" s="12"/>
    </row>
    <row r="47" spans="1:11" ht="72">
      <c r="A47" s="41" t="s">
        <v>124</v>
      </c>
      <c r="B47" s="38" t="s">
        <v>107</v>
      </c>
      <c r="C47" s="43" t="s">
        <v>136</v>
      </c>
      <c r="D47" s="27" t="s">
        <v>137</v>
      </c>
      <c r="E47" s="25" t="s">
        <v>5</v>
      </c>
      <c r="F47" s="50">
        <v>24.64</v>
      </c>
      <c r="G47" s="223">
        <f>'Planilha Geral'!G63</f>
        <v>126.64309741999999</v>
      </c>
      <c r="H47" s="107">
        <f>F47*G47</f>
        <v>3120.4859204288</v>
      </c>
      <c r="I47" s="69"/>
      <c r="K47" s="12"/>
    </row>
    <row r="48" spans="1:11" ht="18">
      <c r="A48" s="388" t="s">
        <v>8</v>
      </c>
      <c r="B48" s="389"/>
      <c r="C48" s="389"/>
      <c r="D48" s="389"/>
      <c r="E48" s="389"/>
      <c r="F48" s="389"/>
      <c r="G48" s="283"/>
      <c r="H48" s="108">
        <f>SUM(H45:H47)</f>
        <v>38924.2019310068</v>
      </c>
      <c r="I48" s="69"/>
      <c r="K48" s="12"/>
    </row>
    <row r="49" spans="1:11" ht="18">
      <c r="A49" s="390" t="s">
        <v>71</v>
      </c>
      <c r="B49" s="391"/>
      <c r="C49" s="391"/>
      <c r="D49" s="391"/>
      <c r="E49" s="391"/>
      <c r="F49" s="391"/>
      <c r="G49" s="282"/>
      <c r="H49" s="109">
        <f>H48</f>
        <v>38924.2019310068</v>
      </c>
      <c r="I49" s="69"/>
      <c r="K49" s="12"/>
    </row>
    <row r="50" spans="1:11" ht="18">
      <c r="A50" s="84"/>
      <c r="B50" s="79"/>
      <c r="C50" s="79"/>
      <c r="D50" s="79"/>
      <c r="E50" s="79"/>
      <c r="F50" s="80"/>
      <c r="G50" s="80"/>
      <c r="H50" s="114"/>
      <c r="I50" s="69"/>
      <c r="K50" s="12"/>
    </row>
    <row r="51" spans="1:11" ht="18.75" thickBot="1">
      <c r="A51" s="392" t="s">
        <v>10</v>
      </c>
      <c r="B51" s="393"/>
      <c r="C51" s="393"/>
      <c r="D51" s="393"/>
      <c r="E51" s="393"/>
      <c r="F51" s="393"/>
      <c r="G51" s="284"/>
      <c r="H51" s="225">
        <f>H42+H37+H31+H19+H11+H49</f>
        <v>169172.7742673368</v>
      </c>
      <c r="I51" s="105" t="e">
        <f>#REF!+I31+I37+#REF!</f>
        <v>#REF!</v>
      </c>
      <c r="K51" s="13"/>
    </row>
    <row r="52" spans="1:8" ht="18" customHeight="1">
      <c r="A52" s="379"/>
      <c r="B52" s="380"/>
      <c r="C52" s="380"/>
      <c r="D52" s="380"/>
      <c r="E52" s="380"/>
      <c r="F52" s="380"/>
      <c r="G52" s="380"/>
      <c r="H52" s="381"/>
    </row>
    <row r="53" spans="1:8" ht="18" customHeight="1">
      <c r="A53" s="382" t="s">
        <v>48</v>
      </c>
      <c r="B53" s="383"/>
      <c r="C53" s="383"/>
      <c r="D53" s="383"/>
      <c r="E53" s="383"/>
      <c r="F53" s="383"/>
      <c r="G53" s="383"/>
      <c r="H53" s="384"/>
    </row>
    <row r="54" spans="1:8" ht="15.75" customHeight="1">
      <c r="A54" s="385" t="s">
        <v>49</v>
      </c>
      <c r="B54" s="386"/>
      <c r="C54" s="386"/>
      <c r="D54" s="386"/>
      <c r="E54" s="386"/>
      <c r="F54" s="386"/>
      <c r="G54" s="386"/>
      <c r="H54" s="387"/>
    </row>
    <row r="55" spans="1:8" ht="18" customHeight="1">
      <c r="A55" s="385" t="s">
        <v>50</v>
      </c>
      <c r="B55" s="386"/>
      <c r="C55" s="386"/>
      <c r="D55" s="386"/>
      <c r="E55" s="386"/>
      <c r="F55" s="386"/>
      <c r="G55" s="386"/>
      <c r="H55" s="387"/>
    </row>
    <row r="56" spans="1:8" ht="18" customHeight="1" thickBot="1">
      <c r="A56" s="85"/>
      <c r="B56" s="86"/>
      <c r="C56" s="86"/>
      <c r="D56" s="86"/>
      <c r="E56" s="86"/>
      <c r="F56" s="86"/>
      <c r="G56" s="86"/>
      <c r="H56" s="115"/>
    </row>
    <row r="57" spans="1:8" ht="18">
      <c r="A57" s="36"/>
      <c r="B57" s="36"/>
      <c r="C57" s="34"/>
      <c r="D57" s="45"/>
      <c r="E57" s="35"/>
      <c r="F57" s="51"/>
      <c r="G57" s="52"/>
      <c r="H57" s="53"/>
    </row>
    <row r="58" spans="1:8" ht="15">
      <c r="A58" s="14"/>
      <c r="B58" s="20"/>
      <c r="C58" s="23"/>
      <c r="D58" s="46"/>
      <c r="E58" s="8"/>
      <c r="F58" s="54"/>
      <c r="G58" s="55"/>
      <c r="H58" s="56"/>
    </row>
  </sheetData>
  <sheetProtection/>
  <mergeCells count="26">
    <mergeCell ref="A1:H2"/>
    <mergeCell ref="A3:H3"/>
    <mergeCell ref="A4:D5"/>
    <mergeCell ref="E4:H4"/>
    <mergeCell ref="E5:H5"/>
    <mergeCell ref="A6:D6"/>
    <mergeCell ref="E6:H6"/>
    <mergeCell ref="A7:D7"/>
    <mergeCell ref="E7:H8"/>
    <mergeCell ref="A8:C8"/>
    <mergeCell ref="A11:F11"/>
    <mergeCell ref="A18:F18"/>
    <mergeCell ref="A19:F19"/>
    <mergeCell ref="A30:F30"/>
    <mergeCell ref="A31:F31"/>
    <mergeCell ref="A36:F36"/>
    <mergeCell ref="A37:F37"/>
    <mergeCell ref="A41:F41"/>
    <mergeCell ref="A53:H53"/>
    <mergeCell ref="A54:H54"/>
    <mergeCell ref="A55:H55"/>
    <mergeCell ref="A42:F42"/>
    <mergeCell ref="A48:F48"/>
    <mergeCell ref="A49:F49"/>
    <mergeCell ref="A51:F51"/>
    <mergeCell ref="A52:H52"/>
  </mergeCells>
  <printOptions/>
  <pageMargins left="0.511811024" right="0.511811024" top="0.787401575" bottom="0.787401575" header="0.31496062" footer="0.31496062"/>
  <pageSetup horizontalDpi="600" verticalDpi="60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PageLayoutView="0" workbookViewId="0" topLeftCell="A3">
      <selection activeCell="G29" sqref="G29"/>
    </sheetView>
  </sheetViews>
  <sheetFormatPr defaultColWidth="9.140625" defaultRowHeight="15"/>
  <cols>
    <col min="1" max="1" width="10.140625" style="2" customWidth="1"/>
    <col min="2" max="2" width="13.7109375" style="2" customWidth="1"/>
    <col min="3" max="3" width="16.14062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58" customWidth="1"/>
    <col min="8" max="8" width="18.140625" style="59" customWidth="1"/>
    <col min="9" max="9" width="26.7109375" style="17" customWidth="1"/>
    <col min="10" max="10" width="9.140625" style="5" customWidth="1"/>
    <col min="11" max="11" width="16.00390625" style="5" customWidth="1"/>
    <col min="12" max="12" width="9.140625" style="5" customWidth="1"/>
    <col min="13" max="13" width="9.57421875" style="5" bestFit="1" customWidth="1"/>
    <col min="14" max="16384" width="9.140625" style="5" customWidth="1"/>
  </cols>
  <sheetData>
    <row r="1" spans="1:8" ht="36" customHeight="1">
      <c r="A1" s="405" t="s">
        <v>34</v>
      </c>
      <c r="B1" s="406"/>
      <c r="C1" s="406"/>
      <c r="D1" s="406"/>
      <c r="E1" s="406"/>
      <c r="F1" s="406"/>
      <c r="G1" s="406"/>
      <c r="H1" s="407"/>
    </row>
    <row r="2" spans="1:8" ht="53.25" customHeight="1" thickBot="1">
      <c r="A2" s="408"/>
      <c r="B2" s="409"/>
      <c r="C2" s="409"/>
      <c r="D2" s="409"/>
      <c r="E2" s="409"/>
      <c r="F2" s="409"/>
      <c r="G2" s="409"/>
      <c r="H2" s="410"/>
    </row>
    <row r="3" spans="1:8" ht="21" customHeight="1">
      <c r="A3" s="411" t="s">
        <v>55</v>
      </c>
      <c r="B3" s="412"/>
      <c r="C3" s="412"/>
      <c r="D3" s="412"/>
      <c r="E3" s="412"/>
      <c r="F3" s="412"/>
      <c r="G3" s="412"/>
      <c r="H3" s="413"/>
    </row>
    <row r="4" spans="1:9" ht="18">
      <c r="A4" s="414" t="s">
        <v>112</v>
      </c>
      <c r="B4" s="415"/>
      <c r="C4" s="415"/>
      <c r="D4" s="415"/>
      <c r="E4" s="499" t="s">
        <v>75</v>
      </c>
      <c r="F4" s="499"/>
      <c r="G4" s="499"/>
      <c r="H4" s="500"/>
      <c r="I4"/>
    </row>
    <row r="5" spans="1:8" ht="18">
      <c r="A5" s="414"/>
      <c r="B5" s="415"/>
      <c r="C5" s="415"/>
      <c r="D5" s="415"/>
      <c r="E5" s="499" t="s">
        <v>27</v>
      </c>
      <c r="F5" s="499"/>
      <c r="G5" s="499"/>
      <c r="H5" s="500"/>
    </row>
    <row r="6" spans="1:10" ht="54.75" customHeight="1">
      <c r="A6" s="501" t="s">
        <v>28</v>
      </c>
      <c r="B6" s="502"/>
      <c r="C6" s="502"/>
      <c r="D6" s="502"/>
      <c r="E6" s="503" t="s">
        <v>74</v>
      </c>
      <c r="F6" s="503"/>
      <c r="G6" s="503"/>
      <c r="H6" s="504"/>
      <c r="J6"/>
    </row>
    <row r="7" spans="1:8" ht="51.75" customHeight="1">
      <c r="A7" s="508" t="s">
        <v>51</v>
      </c>
      <c r="B7" s="509"/>
      <c r="C7" s="509"/>
      <c r="D7" s="509"/>
      <c r="E7" s="510" t="s">
        <v>81</v>
      </c>
      <c r="F7" s="510"/>
      <c r="G7" s="510"/>
      <c r="H7" s="511"/>
    </row>
    <row r="8" spans="1:14" s="6" customFormat="1" ht="38.25" customHeight="1">
      <c r="A8" s="497" t="s">
        <v>113</v>
      </c>
      <c r="B8" s="498"/>
      <c r="C8" s="498"/>
      <c r="D8" s="152" t="s">
        <v>76</v>
      </c>
      <c r="E8" s="510"/>
      <c r="F8" s="510"/>
      <c r="G8" s="510"/>
      <c r="H8" s="511"/>
      <c r="I8" s="18"/>
      <c r="K8" s="5"/>
      <c r="L8" s="5"/>
      <c r="M8" s="5"/>
      <c r="N8" s="5"/>
    </row>
    <row r="9" spans="1:14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19" t="s">
        <v>186</v>
      </c>
      <c r="H9" s="159" t="s">
        <v>4</v>
      </c>
      <c r="I9" s="19"/>
      <c r="J9" s="285">
        <f>'Planilha Geral'!H4</f>
        <v>1.2861</v>
      </c>
      <c r="K9" s="1"/>
      <c r="L9" s="1"/>
      <c r="M9" s="1"/>
      <c r="N9" s="1"/>
    </row>
    <row r="10" spans="1:14" s="7" customFormat="1" ht="18">
      <c r="A10" s="40">
        <v>1</v>
      </c>
      <c r="B10" s="121"/>
      <c r="C10" s="122"/>
      <c r="D10" s="77" t="s">
        <v>18</v>
      </c>
      <c r="E10" s="121"/>
      <c r="F10" s="123"/>
      <c r="G10" s="124"/>
      <c r="H10" s="125"/>
      <c r="I10" s="19"/>
      <c r="K10" s="1"/>
      <c r="L10" s="1"/>
      <c r="M10" s="1"/>
      <c r="N10" s="1"/>
    </row>
    <row r="11" spans="1:11" s="10" customFormat="1" ht="18.75" thickBot="1">
      <c r="A11" s="390" t="s">
        <v>70</v>
      </c>
      <c r="B11" s="391"/>
      <c r="C11" s="391"/>
      <c r="D11" s="391"/>
      <c r="E11" s="391"/>
      <c r="F11" s="391"/>
      <c r="G11" s="282"/>
      <c r="H11" s="109"/>
      <c r="I11" s="67" t="e">
        <f>I3+#REF!+#REF!+#REF!+#REF!+#REF!+I8</f>
        <v>#REF!</v>
      </c>
      <c r="K11" s="11"/>
    </row>
    <row r="12" spans="1:11" s="10" customFormat="1" ht="18">
      <c r="A12" s="133"/>
      <c r="B12" s="44"/>
      <c r="C12" s="44"/>
      <c r="D12" s="44"/>
      <c r="E12" s="44"/>
      <c r="F12" s="44"/>
      <c r="G12" s="44"/>
      <c r="H12" s="106"/>
      <c r="I12" s="21"/>
      <c r="K12" s="11"/>
    </row>
    <row r="13" spans="1:14" s="7" customFormat="1" ht="18">
      <c r="A13" s="40">
        <v>2</v>
      </c>
      <c r="B13" s="121"/>
      <c r="C13" s="122"/>
      <c r="D13" s="77" t="s">
        <v>16</v>
      </c>
      <c r="E13" s="121"/>
      <c r="F13" s="123"/>
      <c r="G13" s="124"/>
      <c r="H13" s="125"/>
      <c r="I13" s="19"/>
      <c r="K13" s="1"/>
      <c r="L13" s="1"/>
      <c r="M13" s="1"/>
      <c r="N13" s="1"/>
    </row>
    <row r="14" spans="1:14" s="7" customFormat="1" ht="36">
      <c r="A14" s="37" t="s">
        <v>12</v>
      </c>
      <c r="B14" s="38" t="s">
        <v>20</v>
      </c>
      <c r="C14" s="39" t="s">
        <v>46</v>
      </c>
      <c r="D14" s="26" t="s">
        <v>35</v>
      </c>
      <c r="E14" s="25" t="s">
        <v>6</v>
      </c>
      <c r="F14" s="50"/>
      <c r="G14" s="50" t="s">
        <v>52</v>
      </c>
      <c r="H14" s="107"/>
      <c r="I14" s="19" t="e">
        <f>#REF!+#REF!+#REF!+#REF!++#REF!+#REF!+#REF!+#REF!+#REF!+#REF!+#REF!+#REF!+#REF!+#REF!</f>
        <v>#REF!</v>
      </c>
      <c r="J14" s="15"/>
      <c r="K14" s="15" t="e">
        <f>#REF!+#REF!+#REF!+#REF!+#REF!+#REF!+#REF!+#REF!+#REF!+#REF!+#REF!+#REF!+#REF!+#REF!</f>
        <v>#REF!</v>
      </c>
      <c r="L14" s="1"/>
      <c r="M14" s="16" t="e">
        <f>H14-I14</f>
        <v>#REF!</v>
      </c>
      <c r="N14" s="1"/>
    </row>
    <row r="15" spans="1:14" s="7" customFormat="1" ht="18">
      <c r="A15" s="37" t="s">
        <v>13</v>
      </c>
      <c r="B15" s="38" t="s">
        <v>20</v>
      </c>
      <c r="C15" s="39" t="s">
        <v>47</v>
      </c>
      <c r="D15" s="26" t="s">
        <v>29</v>
      </c>
      <c r="E15" s="25" t="s">
        <v>6</v>
      </c>
      <c r="F15" s="50"/>
      <c r="G15" s="50" t="s">
        <v>52</v>
      </c>
      <c r="H15" s="107"/>
      <c r="I15" s="19" t="e">
        <f>#REF!+#REF!+#REF!+#REF!++#REF!+#REF!+#REF!+#REF!+#REF!+#REF!+#REF!+#REF!+#REF!+#REF!</f>
        <v>#REF!</v>
      </c>
      <c r="K15" s="15" t="e">
        <f>#REF!+#REF!+#REF!+#REF!+#REF!+#REF!+#REF!+#REF!+#REF!+#REF!+#REF!+#REF!+#REF!+#REF!</f>
        <v>#REF!</v>
      </c>
      <c r="L15" s="1"/>
      <c r="M15" s="16" t="e">
        <f>H15-I15</f>
        <v>#REF!</v>
      </c>
      <c r="N15" s="1"/>
    </row>
    <row r="16" spans="1:14" s="101" customFormat="1" ht="72">
      <c r="A16" s="98" t="s">
        <v>14</v>
      </c>
      <c r="B16" s="91" t="s">
        <v>57</v>
      </c>
      <c r="C16" s="96" t="s">
        <v>58</v>
      </c>
      <c r="D16" s="102" t="s">
        <v>30</v>
      </c>
      <c r="E16" s="97" t="s">
        <v>6</v>
      </c>
      <c r="F16" s="92"/>
      <c r="G16" s="92" t="s">
        <v>52</v>
      </c>
      <c r="H16" s="110"/>
      <c r="I16" s="93" t="e">
        <f>#REF!+#REF!+#REF!+#REF!++#REF!+#REF!+#REF!+#REF!+#REF!+#REF!+#REF!+#REF!+#REF!+#REF!</f>
        <v>#REF!</v>
      </c>
      <c r="K16" s="99" t="e">
        <f>#REF!+#REF!+#REF!+#REF!+#REF!+#REF!+#REF!+#REF!+#REF!+#REF!+#REF!+#REF!+#REF!+#REF!</f>
        <v>#REF!</v>
      </c>
      <c r="L16" s="100"/>
      <c r="M16" s="94" t="e">
        <f>H16-I16</f>
        <v>#REF!</v>
      </c>
      <c r="N16" s="100"/>
    </row>
    <row r="17" spans="1:14" s="7" customFormat="1" ht="36">
      <c r="A17" s="37" t="s">
        <v>15</v>
      </c>
      <c r="B17" s="38" t="s">
        <v>19</v>
      </c>
      <c r="C17" s="43" t="s">
        <v>39</v>
      </c>
      <c r="D17" s="27" t="s">
        <v>21</v>
      </c>
      <c r="E17" s="25" t="s">
        <v>5</v>
      </c>
      <c r="F17" s="50"/>
      <c r="G17" s="50" t="s">
        <v>52</v>
      </c>
      <c r="H17" s="107"/>
      <c r="I17" s="19"/>
      <c r="K17" s="15"/>
      <c r="L17" s="1"/>
      <c r="M17" s="16"/>
      <c r="N17" s="1"/>
    </row>
    <row r="18" spans="1:14" s="7" customFormat="1" ht="18">
      <c r="A18" s="388" t="s">
        <v>8</v>
      </c>
      <c r="B18" s="389"/>
      <c r="C18" s="389"/>
      <c r="D18" s="389"/>
      <c r="E18" s="389"/>
      <c r="F18" s="389"/>
      <c r="G18" s="283"/>
      <c r="H18" s="108">
        <f>SUM(H13:H17)</f>
        <v>0</v>
      </c>
      <c r="I18" s="64" t="e">
        <f>SUM(I13:I16)</f>
        <v>#REF!</v>
      </c>
      <c r="K18" s="1"/>
      <c r="L18" s="1"/>
      <c r="M18" s="16" t="e">
        <f>H18-I18</f>
        <v>#REF!</v>
      </c>
      <c r="N18" s="1"/>
    </row>
    <row r="19" spans="1:11" s="10" customFormat="1" ht="18.75" thickBot="1">
      <c r="A19" s="390" t="s">
        <v>69</v>
      </c>
      <c r="B19" s="391"/>
      <c r="C19" s="391"/>
      <c r="D19" s="391"/>
      <c r="E19" s="391"/>
      <c r="F19" s="391"/>
      <c r="G19" s="282"/>
      <c r="H19" s="109">
        <f>H18</f>
        <v>0</v>
      </c>
      <c r="I19" s="67" t="e">
        <f>I10+#REF!+#REF!+#REF!+#REF!+#REF!+I13</f>
        <v>#REF!</v>
      </c>
      <c r="K19" s="11"/>
    </row>
    <row r="20" spans="1:9" s="4" customFormat="1" ht="18">
      <c r="A20" s="63"/>
      <c r="B20" s="62"/>
      <c r="C20" s="71"/>
      <c r="D20" s="61"/>
      <c r="E20" s="62"/>
      <c r="F20" s="72"/>
      <c r="G20" s="73"/>
      <c r="H20" s="111"/>
      <c r="I20" s="19"/>
    </row>
    <row r="21" spans="1:9" s="9" customFormat="1" ht="18">
      <c r="A21" s="126" t="s">
        <v>17</v>
      </c>
      <c r="B21" s="127"/>
      <c r="C21" s="128"/>
      <c r="D21" s="28" t="s">
        <v>11</v>
      </c>
      <c r="E21" s="129"/>
      <c r="F21" s="130"/>
      <c r="G21" s="131"/>
      <c r="H21" s="132"/>
      <c r="I21" s="19"/>
    </row>
    <row r="22" spans="1:11" ht="54">
      <c r="A22" s="95" t="s">
        <v>31</v>
      </c>
      <c r="B22" s="91" t="s">
        <v>57</v>
      </c>
      <c r="C22" s="96" t="s">
        <v>317</v>
      </c>
      <c r="D22" s="367" t="s">
        <v>318</v>
      </c>
      <c r="E22" s="97" t="s">
        <v>0</v>
      </c>
      <c r="F22" s="50">
        <v>63.67</v>
      </c>
      <c r="G22" s="50">
        <f>'Planilha Geral'!G28</f>
        <v>32.846994</v>
      </c>
      <c r="H22" s="107">
        <f>F22*G22</f>
        <v>2091.3681079800003</v>
      </c>
      <c r="I22" s="19"/>
      <c r="K22" s="15"/>
    </row>
    <row r="23" spans="1:9" ht="18">
      <c r="A23" s="388" t="s">
        <v>8</v>
      </c>
      <c r="B23" s="389"/>
      <c r="C23" s="389"/>
      <c r="D23" s="389"/>
      <c r="E23" s="389"/>
      <c r="F23" s="389"/>
      <c r="G23" s="283"/>
      <c r="H23" s="108">
        <f>SUM(H22:H22)</f>
        <v>2091.3681079800003</v>
      </c>
      <c r="I23" s="66" t="e">
        <f>SUM(#REF!)</f>
        <v>#REF!</v>
      </c>
    </row>
    <row r="24" spans="1:11" s="10" customFormat="1" ht="18.75" thickBot="1">
      <c r="A24" s="390" t="s">
        <v>33</v>
      </c>
      <c r="B24" s="391"/>
      <c r="C24" s="391"/>
      <c r="D24" s="391"/>
      <c r="E24" s="391"/>
      <c r="F24" s="391"/>
      <c r="G24" s="282"/>
      <c r="H24" s="109">
        <f>H23</f>
        <v>2091.3681079800003</v>
      </c>
      <c r="I24" s="67" t="e">
        <f>#REF!+#REF!+#REF!+#REF!+#REF!+#REF!+I23</f>
        <v>#REF!</v>
      </c>
      <c r="K24" s="11"/>
    </row>
    <row r="25" spans="1:11" s="10" customFormat="1" ht="18">
      <c r="A25" s="81"/>
      <c r="B25" s="74"/>
      <c r="C25" s="75"/>
      <c r="D25" s="74"/>
      <c r="E25" s="74"/>
      <c r="F25" s="76"/>
      <c r="G25" s="76"/>
      <c r="H25" s="113"/>
      <c r="I25" s="21"/>
      <c r="K25" s="11"/>
    </row>
    <row r="26" spans="1:9" s="9" customFormat="1" ht="18">
      <c r="A26" s="82">
        <v>4</v>
      </c>
      <c r="B26" s="29"/>
      <c r="C26" s="30"/>
      <c r="D26" s="77" t="s">
        <v>9</v>
      </c>
      <c r="E26" s="31"/>
      <c r="F26" s="48"/>
      <c r="G26" s="49"/>
      <c r="H26" s="60"/>
      <c r="I26" s="19"/>
    </row>
    <row r="27" spans="1:13" s="4" customFormat="1" ht="54">
      <c r="A27" s="41" t="s">
        <v>24</v>
      </c>
      <c r="B27" s="371" t="s">
        <v>57</v>
      </c>
      <c r="C27" s="372" t="s">
        <v>313</v>
      </c>
      <c r="D27" s="373" t="s">
        <v>314</v>
      </c>
      <c r="E27" s="97" t="s">
        <v>5</v>
      </c>
      <c r="F27" s="50">
        <v>283.87</v>
      </c>
      <c r="G27" s="50">
        <f>'Planilha Geral'!G44</f>
        <v>54.080504999999995</v>
      </c>
      <c r="H27" s="107">
        <f>F27*G27</f>
        <v>15351.832954349999</v>
      </c>
      <c r="I27" s="19" t="e">
        <f>#REF!+#REF!+#REF!+#REF!+#REF!+#REF!+#REF!+#REF!+#REF!+#REF!+#REF!+#REF!+#REF!+#REF!+#REF!</f>
        <v>#REF!</v>
      </c>
      <c r="K27" s="15" t="e">
        <f>#REF!+#REF!+#REF!+#REF!+#REF!+#REF!+#REF!+#REF!+#REF!+#REF!+#REF!+#REF!+#REF!+#REF!</f>
        <v>#REF!</v>
      </c>
      <c r="M27" s="22" t="e">
        <f>#REF!-#REF!</f>
        <v>#REF!</v>
      </c>
    </row>
    <row r="28" spans="1:13" s="4" customFormat="1" ht="72">
      <c r="A28" s="41" t="s">
        <v>41</v>
      </c>
      <c r="B28" s="42" t="s">
        <v>57</v>
      </c>
      <c r="C28" s="43" t="s">
        <v>59</v>
      </c>
      <c r="D28" s="27" t="s">
        <v>60</v>
      </c>
      <c r="E28" s="25" t="s">
        <v>0</v>
      </c>
      <c r="F28" s="50">
        <v>69.91</v>
      </c>
      <c r="G28" s="50">
        <f>'Planilha Geral'!G45</f>
        <v>24.30729</v>
      </c>
      <c r="H28" s="107">
        <f>F28*G28</f>
        <v>1699.3226438999998</v>
      </c>
      <c r="I28" s="19"/>
      <c r="K28" s="15"/>
      <c r="M28" s="22"/>
    </row>
    <row r="29" spans="1:9" s="4" customFormat="1" ht="18">
      <c r="A29" s="388" t="s">
        <v>8</v>
      </c>
      <c r="B29" s="389"/>
      <c r="C29" s="389"/>
      <c r="D29" s="389"/>
      <c r="E29" s="389"/>
      <c r="F29" s="389"/>
      <c r="G29" s="283"/>
      <c r="H29" s="108">
        <f>SUM(H27:H28)</f>
        <v>17051.15559825</v>
      </c>
      <c r="I29" s="65" t="e">
        <f>SUM(I27:I27)</f>
        <v>#REF!</v>
      </c>
    </row>
    <row r="30" spans="1:11" ht="18">
      <c r="A30" s="390" t="s">
        <v>23</v>
      </c>
      <c r="B30" s="391"/>
      <c r="C30" s="391"/>
      <c r="D30" s="391"/>
      <c r="E30" s="391"/>
      <c r="F30" s="391"/>
      <c r="G30" s="282"/>
      <c r="H30" s="109">
        <f>H29</f>
        <v>17051.15559825</v>
      </c>
      <c r="I30" s="68" t="e">
        <f>SUM(I27:I27)</f>
        <v>#REF!</v>
      </c>
      <c r="K30" s="12"/>
    </row>
    <row r="31" spans="1:11" ht="18">
      <c r="A31" s="81"/>
      <c r="B31" s="74"/>
      <c r="C31" s="74"/>
      <c r="D31" s="74"/>
      <c r="E31" s="74"/>
      <c r="F31" s="76"/>
      <c r="G31" s="76"/>
      <c r="H31" s="113"/>
      <c r="I31" s="69"/>
      <c r="K31" s="12"/>
    </row>
    <row r="32" spans="1:11" ht="18.75" thickBot="1">
      <c r="A32" s="392" t="s">
        <v>10</v>
      </c>
      <c r="B32" s="393"/>
      <c r="C32" s="393"/>
      <c r="D32" s="393"/>
      <c r="E32" s="393"/>
      <c r="F32" s="393"/>
      <c r="G32" s="284"/>
      <c r="H32" s="225">
        <f>H30+H24+H19</f>
        <v>19142.52370623</v>
      </c>
      <c r="I32" s="105" t="e">
        <f>#REF!+I24+I30+#REF!</f>
        <v>#REF!</v>
      </c>
      <c r="K32" s="13"/>
    </row>
    <row r="33" spans="1:8" ht="18" customHeight="1">
      <c r="A33" s="379"/>
      <c r="B33" s="380"/>
      <c r="C33" s="380"/>
      <c r="D33" s="380"/>
      <c r="E33" s="380"/>
      <c r="F33" s="380"/>
      <c r="G33" s="380"/>
      <c r="H33" s="381"/>
    </row>
    <row r="34" spans="1:8" ht="18" customHeight="1">
      <c r="A34" s="382" t="s">
        <v>48</v>
      </c>
      <c r="B34" s="383"/>
      <c r="C34" s="383"/>
      <c r="D34" s="383"/>
      <c r="E34" s="383"/>
      <c r="F34" s="383"/>
      <c r="G34" s="383"/>
      <c r="H34" s="384"/>
    </row>
    <row r="35" spans="1:8" ht="15.75" customHeight="1">
      <c r="A35" s="385" t="s">
        <v>49</v>
      </c>
      <c r="B35" s="386"/>
      <c r="C35" s="386"/>
      <c r="D35" s="386"/>
      <c r="E35" s="386"/>
      <c r="F35" s="386"/>
      <c r="G35" s="386"/>
      <c r="H35" s="387"/>
    </row>
    <row r="36" spans="1:8" ht="18" customHeight="1">
      <c r="A36" s="385" t="s">
        <v>50</v>
      </c>
      <c r="B36" s="386"/>
      <c r="C36" s="386"/>
      <c r="D36" s="386"/>
      <c r="E36" s="386"/>
      <c r="F36" s="386"/>
      <c r="G36" s="386"/>
      <c r="H36" s="387"/>
    </row>
    <row r="37" spans="1:8" ht="18" customHeight="1" thickBot="1">
      <c r="A37" s="85"/>
      <c r="B37" s="86"/>
      <c r="C37" s="86"/>
      <c r="D37" s="86"/>
      <c r="E37" s="86"/>
      <c r="F37" s="86"/>
      <c r="G37" s="86"/>
      <c r="H37" s="115"/>
    </row>
    <row r="38" spans="1:8" ht="18">
      <c r="A38" s="36"/>
      <c r="B38" s="36"/>
      <c r="C38" s="34"/>
      <c r="D38" s="45"/>
      <c r="E38" s="35"/>
      <c r="F38" s="51"/>
      <c r="G38" s="52"/>
      <c r="H38" s="53"/>
    </row>
    <row r="39" spans="1:8" ht="15">
      <c r="A39" s="14"/>
      <c r="B39" s="20"/>
      <c r="C39" s="23"/>
      <c r="D39" s="46"/>
      <c r="E39" s="8"/>
      <c r="F39" s="54"/>
      <c r="G39" s="55"/>
      <c r="H39" s="56"/>
    </row>
  </sheetData>
  <sheetProtection/>
  <mergeCells count="22">
    <mergeCell ref="A1:H2"/>
    <mergeCell ref="A3:H3"/>
    <mergeCell ref="A4:D5"/>
    <mergeCell ref="E4:H4"/>
    <mergeCell ref="E5:H5"/>
    <mergeCell ref="A6:D6"/>
    <mergeCell ref="E6:H6"/>
    <mergeCell ref="A7:D7"/>
    <mergeCell ref="E7:H8"/>
    <mergeCell ref="A8:C8"/>
    <mergeCell ref="A11:F11"/>
    <mergeCell ref="A18:F18"/>
    <mergeCell ref="A19:F19"/>
    <mergeCell ref="A33:H33"/>
    <mergeCell ref="A34:H34"/>
    <mergeCell ref="A35:H35"/>
    <mergeCell ref="A36:H36"/>
    <mergeCell ref="A23:F23"/>
    <mergeCell ref="A24:F24"/>
    <mergeCell ref="A29:F29"/>
    <mergeCell ref="A30:F30"/>
    <mergeCell ref="A32:F32"/>
  </mergeCells>
  <printOptions/>
  <pageMargins left="0.511811024" right="0.511811024" top="0.787401575" bottom="0.787401575" header="0.31496062" footer="0.31496062"/>
  <pageSetup horizontalDpi="600" verticalDpi="600" orientation="portrait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60" zoomScalePageLayoutView="0" workbookViewId="0" topLeftCell="A10">
      <selection activeCell="H39" sqref="H39"/>
    </sheetView>
  </sheetViews>
  <sheetFormatPr defaultColWidth="9.140625" defaultRowHeight="15"/>
  <cols>
    <col min="1" max="1" width="10.140625" style="2" customWidth="1"/>
    <col min="2" max="2" width="13.140625" style="2" customWidth="1"/>
    <col min="3" max="3" width="16.140625" style="24" customWidth="1"/>
    <col min="4" max="4" width="74.28125" style="47" customWidth="1"/>
    <col min="5" max="5" width="9.00390625" style="3" customWidth="1"/>
    <col min="6" max="6" width="15.8515625" style="57" customWidth="1"/>
    <col min="7" max="7" width="15.7109375" style="58" customWidth="1"/>
    <col min="8" max="8" width="18.28125" style="59" customWidth="1"/>
    <col min="9" max="9" width="26.7109375" style="17" customWidth="1"/>
    <col min="10" max="10" width="9.140625" style="5" customWidth="1"/>
    <col min="11" max="11" width="16.00390625" style="5" customWidth="1"/>
    <col min="12" max="12" width="9.140625" style="5" customWidth="1"/>
    <col min="13" max="13" width="9.57421875" style="5" bestFit="1" customWidth="1"/>
    <col min="14" max="16384" width="9.140625" style="5" customWidth="1"/>
  </cols>
  <sheetData>
    <row r="1" spans="1:8" ht="36" customHeight="1">
      <c r="A1" s="512" t="s">
        <v>34</v>
      </c>
      <c r="B1" s="513"/>
      <c r="C1" s="513"/>
      <c r="D1" s="513"/>
      <c r="E1" s="513"/>
      <c r="F1" s="513"/>
      <c r="G1" s="513"/>
      <c r="H1" s="514"/>
    </row>
    <row r="2" spans="1:8" ht="53.25" customHeight="1" thickBot="1">
      <c r="A2" s="515"/>
      <c r="B2" s="516"/>
      <c r="C2" s="516"/>
      <c r="D2" s="516"/>
      <c r="E2" s="516"/>
      <c r="F2" s="516"/>
      <c r="G2" s="516"/>
      <c r="H2" s="517"/>
    </row>
    <row r="3" spans="1:8" ht="21" customHeight="1">
      <c r="A3" s="411" t="s">
        <v>55</v>
      </c>
      <c r="B3" s="412"/>
      <c r="C3" s="412"/>
      <c r="D3" s="412"/>
      <c r="E3" s="412"/>
      <c r="F3" s="412"/>
      <c r="G3" s="412"/>
      <c r="H3" s="413"/>
    </row>
    <row r="4" spans="1:9" ht="18">
      <c r="A4" s="414" t="s">
        <v>114</v>
      </c>
      <c r="B4" s="415"/>
      <c r="C4" s="415"/>
      <c r="D4" s="415"/>
      <c r="E4" s="520" t="s">
        <v>75</v>
      </c>
      <c r="F4" s="520"/>
      <c r="G4" s="520"/>
      <c r="H4" s="521"/>
      <c r="I4"/>
    </row>
    <row r="5" spans="1:8" ht="23.25" customHeight="1">
      <c r="A5" s="414"/>
      <c r="B5" s="415"/>
      <c r="C5" s="415"/>
      <c r="D5" s="415"/>
      <c r="E5" s="520" t="s">
        <v>27</v>
      </c>
      <c r="F5" s="520"/>
      <c r="G5" s="520"/>
      <c r="H5" s="521"/>
    </row>
    <row r="6" spans="1:10" ht="54" customHeight="1">
      <c r="A6" s="501" t="s">
        <v>28</v>
      </c>
      <c r="B6" s="502"/>
      <c r="C6" s="502"/>
      <c r="D6" s="502"/>
      <c r="E6" s="503" t="s">
        <v>74</v>
      </c>
      <c r="F6" s="503"/>
      <c r="G6" s="503"/>
      <c r="H6" s="504"/>
      <c r="J6"/>
    </row>
    <row r="7" spans="1:8" ht="64.5" customHeight="1">
      <c r="A7" s="508" t="s">
        <v>51</v>
      </c>
      <c r="B7" s="509"/>
      <c r="C7" s="509"/>
      <c r="D7" s="509"/>
      <c r="E7" s="510" t="s">
        <v>81</v>
      </c>
      <c r="F7" s="510"/>
      <c r="G7" s="510"/>
      <c r="H7" s="511"/>
    </row>
    <row r="8" spans="1:14" s="6" customFormat="1" ht="33" customHeight="1">
      <c r="A8" s="497" t="s">
        <v>98</v>
      </c>
      <c r="B8" s="498"/>
      <c r="C8" s="498"/>
      <c r="D8" s="152" t="s">
        <v>76</v>
      </c>
      <c r="E8" s="510"/>
      <c r="F8" s="510"/>
      <c r="G8" s="510"/>
      <c r="H8" s="511"/>
      <c r="I8" s="18"/>
      <c r="K8" s="5"/>
      <c r="L8" s="5"/>
      <c r="M8" s="5"/>
      <c r="N8" s="5"/>
    </row>
    <row r="9" spans="1:14" s="7" customFormat="1" ht="36">
      <c r="A9" s="280" t="s">
        <v>1</v>
      </c>
      <c r="B9" s="281" t="s">
        <v>44</v>
      </c>
      <c r="C9" s="157" t="s">
        <v>7</v>
      </c>
      <c r="D9" s="281" t="s">
        <v>2</v>
      </c>
      <c r="E9" s="281" t="s">
        <v>43</v>
      </c>
      <c r="F9" s="158" t="s">
        <v>22</v>
      </c>
      <c r="G9" s="158" t="s">
        <v>3</v>
      </c>
      <c r="H9" s="159" t="s">
        <v>4</v>
      </c>
      <c r="I9" s="19"/>
      <c r="J9" s="285">
        <f>'Planilha Geral'!H4</f>
        <v>1.2861</v>
      </c>
      <c r="K9" s="1"/>
      <c r="L9" s="1"/>
      <c r="M9" s="1"/>
      <c r="N9" s="1"/>
    </row>
    <row r="10" spans="1:14" s="7" customFormat="1" ht="18">
      <c r="A10" s="40">
        <v>1</v>
      </c>
      <c r="B10" s="121"/>
      <c r="C10" s="122"/>
      <c r="D10" s="77" t="s">
        <v>18</v>
      </c>
      <c r="E10" s="121"/>
      <c r="F10" s="123"/>
      <c r="G10" s="124"/>
      <c r="H10" s="125"/>
      <c r="I10" s="19"/>
      <c r="K10" s="1"/>
      <c r="L10" s="1"/>
      <c r="M10" s="1"/>
      <c r="N10" s="1"/>
    </row>
    <row r="11" spans="1:11" s="10" customFormat="1" ht="18.75" thickBot="1">
      <c r="A11" s="390" t="s">
        <v>70</v>
      </c>
      <c r="B11" s="391"/>
      <c r="C11" s="391"/>
      <c r="D11" s="391"/>
      <c r="E11" s="391"/>
      <c r="F11" s="391"/>
      <c r="G11" s="282"/>
      <c r="H11" s="109"/>
      <c r="I11" s="67" t="e">
        <f>I3+#REF!+#REF!+#REF!+#REF!+#REF!+I8</f>
        <v>#REF!</v>
      </c>
      <c r="K11" s="11"/>
    </row>
    <row r="12" spans="1:11" s="10" customFormat="1" ht="18">
      <c r="A12" s="133"/>
      <c r="B12" s="44"/>
      <c r="C12" s="44"/>
      <c r="D12" s="44"/>
      <c r="E12" s="44"/>
      <c r="F12" s="44"/>
      <c r="G12" s="44"/>
      <c r="H12" s="106"/>
      <c r="I12" s="21"/>
      <c r="K12" s="11"/>
    </row>
    <row r="13" spans="1:14" s="7" customFormat="1" ht="18">
      <c r="A13" s="40">
        <v>2</v>
      </c>
      <c r="B13" s="121"/>
      <c r="C13" s="122"/>
      <c r="D13" s="77" t="s">
        <v>16</v>
      </c>
      <c r="E13" s="121"/>
      <c r="F13" s="123"/>
      <c r="G13" s="124"/>
      <c r="H13" s="125"/>
      <c r="I13" s="19"/>
      <c r="K13" s="1"/>
      <c r="L13" s="1"/>
      <c r="M13" s="1"/>
      <c r="N13" s="1"/>
    </row>
    <row r="14" spans="1:14" s="7" customFormat="1" ht="36">
      <c r="A14" s="37" t="s">
        <v>12</v>
      </c>
      <c r="B14" s="38" t="s">
        <v>20</v>
      </c>
      <c r="C14" s="39" t="s">
        <v>46</v>
      </c>
      <c r="D14" s="26" t="s">
        <v>35</v>
      </c>
      <c r="E14" s="25" t="s">
        <v>6</v>
      </c>
      <c r="F14" s="50"/>
      <c r="G14" s="50" t="s">
        <v>52</v>
      </c>
      <c r="H14" s="107"/>
      <c r="I14" s="19" t="e">
        <f>#REF!+#REF!+#REF!+#REF!++#REF!+#REF!+#REF!+#REF!+#REF!+#REF!+#REF!+#REF!+#REF!+#REF!</f>
        <v>#REF!</v>
      </c>
      <c r="J14" s="15"/>
      <c r="K14" s="15" t="e">
        <f>#REF!+#REF!+#REF!+#REF!+#REF!+#REF!+#REF!+#REF!+#REF!+#REF!+#REF!+#REF!+#REF!+#REF!</f>
        <v>#REF!</v>
      </c>
      <c r="L14" s="1"/>
      <c r="M14" s="16" t="e">
        <f>H14-I14</f>
        <v>#REF!</v>
      </c>
      <c r="N14" s="1"/>
    </row>
    <row r="15" spans="1:14" s="7" customFormat="1" ht="18">
      <c r="A15" s="37" t="s">
        <v>13</v>
      </c>
      <c r="B15" s="38" t="s">
        <v>20</v>
      </c>
      <c r="C15" s="39" t="s">
        <v>47</v>
      </c>
      <c r="D15" s="26" t="s">
        <v>29</v>
      </c>
      <c r="E15" s="25" t="s">
        <v>6</v>
      </c>
      <c r="F15" s="50"/>
      <c r="G15" s="50" t="s">
        <v>52</v>
      </c>
      <c r="H15" s="107"/>
      <c r="I15" s="19" t="e">
        <f>#REF!+#REF!+#REF!+#REF!++#REF!+#REF!+#REF!+#REF!+#REF!+#REF!+#REF!+#REF!+#REF!+#REF!</f>
        <v>#REF!</v>
      </c>
      <c r="K15" s="15" t="e">
        <f>#REF!+#REF!+#REF!+#REF!+#REF!+#REF!+#REF!+#REF!+#REF!+#REF!+#REF!+#REF!+#REF!+#REF!</f>
        <v>#REF!</v>
      </c>
      <c r="L15" s="1"/>
      <c r="M15" s="16" t="e">
        <f>H15-I15</f>
        <v>#REF!</v>
      </c>
      <c r="N15" s="1"/>
    </row>
    <row r="16" spans="1:14" s="101" customFormat="1" ht="72">
      <c r="A16" s="98" t="s">
        <v>14</v>
      </c>
      <c r="B16" s="91" t="s">
        <v>57</v>
      </c>
      <c r="C16" s="96" t="s">
        <v>58</v>
      </c>
      <c r="D16" s="102" t="s">
        <v>30</v>
      </c>
      <c r="E16" s="97" t="s">
        <v>6</v>
      </c>
      <c r="F16" s="92"/>
      <c r="G16" s="92" t="s">
        <v>52</v>
      </c>
      <c r="H16" s="110"/>
      <c r="I16" s="93" t="e">
        <f>#REF!+#REF!+#REF!+#REF!++#REF!+#REF!+#REF!+#REF!+#REF!+#REF!+#REF!+#REF!+#REF!+#REF!</f>
        <v>#REF!</v>
      </c>
      <c r="K16" s="99" t="e">
        <f>#REF!+#REF!+#REF!+#REF!+#REF!+#REF!+#REF!+#REF!+#REF!+#REF!+#REF!+#REF!+#REF!+#REF!</f>
        <v>#REF!</v>
      </c>
      <c r="L16" s="100"/>
      <c r="M16" s="94" t="e">
        <f>H16-I16</f>
        <v>#REF!</v>
      </c>
      <c r="N16" s="100"/>
    </row>
    <row r="17" spans="1:14" s="7" customFormat="1" ht="36">
      <c r="A17" s="37" t="s">
        <v>15</v>
      </c>
      <c r="B17" s="38" t="s">
        <v>19</v>
      </c>
      <c r="C17" s="43" t="s">
        <v>39</v>
      </c>
      <c r="D17" s="27" t="s">
        <v>21</v>
      </c>
      <c r="E17" s="25" t="s">
        <v>5</v>
      </c>
      <c r="F17" s="50"/>
      <c r="G17" s="50" t="s">
        <v>52</v>
      </c>
      <c r="H17" s="107"/>
      <c r="I17" s="19"/>
      <c r="K17" s="15"/>
      <c r="L17" s="1"/>
      <c r="M17" s="16"/>
      <c r="N17" s="1"/>
    </row>
    <row r="18" spans="1:11" s="10" customFormat="1" ht="18.75" thickBot="1">
      <c r="A18" s="390" t="s">
        <v>69</v>
      </c>
      <c r="B18" s="391"/>
      <c r="C18" s="391"/>
      <c r="D18" s="391"/>
      <c r="E18" s="391"/>
      <c r="F18" s="391"/>
      <c r="G18" s="282"/>
      <c r="H18" s="109"/>
      <c r="I18" s="67" t="e">
        <f>I10+#REF!+#REF!+#REF!+#REF!+#REF!+I13</f>
        <v>#REF!</v>
      </c>
      <c r="K18" s="11"/>
    </row>
    <row r="19" spans="1:11" s="10" customFormat="1" ht="18">
      <c r="A19" s="133"/>
      <c r="B19" s="44"/>
      <c r="C19" s="44"/>
      <c r="D19" s="44"/>
      <c r="E19" s="44"/>
      <c r="F19" s="44"/>
      <c r="G19" s="44"/>
      <c r="H19" s="106"/>
      <c r="I19" s="21"/>
      <c r="K19" s="11"/>
    </row>
    <row r="20" spans="1:13" s="4" customFormat="1" ht="18">
      <c r="A20" s="40">
        <v>3</v>
      </c>
      <c r="B20" s="121"/>
      <c r="C20" s="122"/>
      <c r="D20" s="77" t="s">
        <v>11</v>
      </c>
      <c r="E20" s="121"/>
      <c r="F20" s="123"/>
      <c r="G20" s="123"/>
      <c r="H20" s="125"/>
      <c r="I20" s="19"/>
      <c r="K20" s="22"/>
      <c r="M20" s="16">
        <f>H20-I20</f>
        <v>0</v>
      </c>
    </row>
    <row r="21" spans="1:9" s="9" customFormat="1" ht="18">
      <c r="A21" s="126" t="s">
        <v>17</v>
      </c>
      <c r="B21" s="127"/>
      <c r="C21" s="128"/>
      <c r="D21" s="28" t="s">
        <v>11</v>
      </c>
      <c r="E21" s="129"/>
      <c r="F21" s="130"/>
      <c r="G21" s="131"/>
      <c r="H21" s="132"/>
      <c r="I21" s="19"/>
    </row>
    <row r="22" spans="1:11" ht="54">
      <c r="A22" s="41" t="s">
        <v>31</v>
      </c>
      <c r="B22" s="91" t="s">
        <v>57</v>
      </c>
      <c r="C22" s="96" t="s">
        <v>317</v>
      </c>
      <c r="D22" s="367" t="s">
        <v>318</v>
      </c>
      <c r="E22" s="97" t="s">
        <v>0</v>
      </c>
      <c r="F22" s="50">
        <v>239.89</v>
      </c>
      <c r="G22" s="50">
        <f>'Planilha Geral'!G28</f>
        <v>32.846994</v>
      </c>
      <c r="H22" s="107">
        <f>F22*G22</f>
        <v>7879.66539066</v>
      </c>
      <c r="I22" s="19"/>
      <c r="K22" s="15"/>
    </row>
    <row r="23" spans="1:11" ht="108">
      <c r="A23" s="41" t="s">
        <v>300</v>
      </c>
      <c r="B23" s="91" t="s">
        <v>310</v>
      </c>
      <c r="C23" s="96" t="s">
        <v>311</v>
      </c>
      <c r="D23" s="367" t="s">
        <v>312</v>
      </c>
      <c r="E23" s="97" t="s">
        <v>32</v>
      </c>
      <c r="F23" s="50">
        <v>1</v>
      </c>
      <c r="G23" s="50">
        <f>'Planilha Geral'!G33</f>
        <v>1549.9819980000002</v>
      </c>
      <c r="H23" s="107">
        <f>F23*G23</f>
        <v>1549.9819980000002</v>
      </c>
      <c r="I23" s="19"/>
      <c r="K23" s="15"/>
    </row>
    <row r="24" spans="1:11" ht="36">
      <c r="A24" s="41" t="s">
        <v>301</v>
      </c>
      <c r="B24" s="38" t="s">
        <v>19</v>
      </c>
      <c r="C24" s="39" t="s">
        <v>36</v>
      </c>
      <c r="D24" s="33" t="s">
        <v>37</v>
      </c>
      <c r="E24" s="25" t="s">
        <v>0</v>
      </c>
      <c r="F24" s="50">
        <v>4</v>
      </c>
      <c r="G24" s="50">
        <f>'Planilha Geral'!G29</f>
        <v>327.52</v>
      </c>
      <c r="H24" s="107">
        <f>F24*G24</f>
        <v>1310.08</v>
      </c>
      <c r="I24" s="19" t="e">
        <f>#REF!+#REF!+#REF!+#REF!+#REF!+#REF!+#REF!+#REF!+#REF!+#REF!+#REF!+#REF!+#REF!+#REF!</f>
        <v>#REF!</v>
      </c>
      <c r="K24" s="15" t="e">
        <f>#REF!+#REF!+#REF!+#REF!+#REF!+#REF!+#REF!+#REF!+#REF!+#REF!+#REF!+#REF!+#REF!+#REF!</f>
        <v>#REF!</v>
      </c>
    </row>
    <row r="25" spans="1:9" ht="18">
      <c r="A25" s="388" t="s">
        <v>8</v>
      </c>
      <c r="B25" s="389"/>
      <c r="C25" s="389"/>
      <c r="D25" s="389"/>
      <c r="E25" s="389"/>
      <c r="F25" s="389"/>
      <c r="G25" s="283"/>
      <c r="H25" s="108">
        <f>SUM(H22:H24)</f>
        <v>10739.72738866</v>
      </c>
      <c r="I25" s="66" t="e">
        <f>SUM(I22:I24)</f>
        <v>#REF!</v>
      </c>
    </row>
    <row r="26" spans="1:9" ht="18">
      <c r="A26" s="390" t="s">
        <v>33</v>
      </c>
      <c r="B26" s="391"/>
      <c r="C26" s="391"/>
      <c r="D26" s="391"/>
      <c r="E26" s="391"/>
      <c r="F26" s="391"/>
      <c r="G26" s="282"/>
      <c r="H26" s="109">
        <f>H25</f>
        <v>10739.72738866</v>
      </c>
      <c r="I26" s="153"/>
    </row>
    <row r="27" spans="1:9" s="90" customFormat="1" ht="18" customHeight="1">
      <c r="A27" s="87"/>
      <c r="B27" s="88"/>
      <c r="C27" s="88"/>
      <c r="D27" s="88"/>
      <c r="E27" s="88"/>
      <c r="F27" s="88"/>
      <c r="G27" s="88"/>
      <c r="H27" s="112"/>
      <c r="I27" s="89"/>
    </row>
    <row r="28" spans="1:9" s="9" customFormat="1" ht="18">
      <c r="A28" s="82">
        <v>4</v>
      </c>
      <c r="B28" s="29"/>
      <c r="C28" s="30"/>
      <c r="D28" s="77" t="s">
        <v>9</v>
      </c>
      <c r="E28" s="31"/>
      <c r="F28" s="48"/>
      <c r="G28" s="49"/>
      <c r="H28" s="60"/>
      <c r="I28" s="19"/>
    </row>
    <row r="29" spans="1:11" s="4" customFormat="1" ht="72">
      <c r="A29" s="41" t="s">
        <v>24</v>
      </c>
      <c r="B29" s="42" t="s">
        <v>57</v>
      </c>
      <c r="C29" s="43" t="s">
        <v>59</v>
      </c>
      <c r="D29" s="141" t="s">
        <v>60</v>
      </c>
      <c r="E29" s="25" t="s">
        <v>0</v>
      </c>
      <c r="F29" s="50">
        <v>9.41</v>
      </c>
      <c r="G29" s="50">
        <f>'Planilha Geral'!G45</f>
        <v>24.30729</v>
      </c>
      <c r="H29" s="107">
        <f>F29*G29</f>
        <v>228.7315989</v>
      </c>
      <c r="I29" s="19"/>
      <c r="K29" s="15"/>
    </row>
    <row r="30" spans="1:13" s="4" customFormat="1" ht="54">
      <c r="A30" s="41" t="s">
        <v>41</v>
      </c>
      <c r="B30" s="371" t="s">
        <v>57</v>
      </c>
      <c r="C30" s="372" t="s">
        <v>313</v>
      </c>
      <c r="D30" s="373" t="s">
        <v>314</v>
      </c>
      <c r="E30" s="97" t="s">
        <v>5</v>
      </c>
      <c r="F30" s="50">
        <v>526.7</v>
      </c>
      <c r="G30" s="50">
        <f>'Planilha Geral'!G44</f>
        <v>54.080504999999995</v>
      </c>
      <c r="H30" s="107">
        <f>F30*G30</f>
        <v>28484.2019835</v>
      </c>
      <c r="I30" s="19" t="e">
        <f>#REF!+#REF!+#REF!+#REF!+#REF!+#REF!+#REF!+#REF!+#REF!+#REF!+#REF!+#REF!+#REF!+#REF!+#REF!</f>
        <v>#REF!</v>
      </c>
      <c r="K30" s="15" t="e">
        <f>#REF!+#REF!+#REF!+#REF!+#REF!+#REF!+#REF!+#REF!+#REF!+#REF!+#REF!+#REF!+#REF!+#REF!</f>
        <v>#REF!</v>
      </c>
      <c r="M30" s="22" t="e">
        <f>#REF!-#REF!</f>
        <v>#REF!</v>
      </c>
    </row>
    <row r="31" spans="1:9" s="4" customFormat="1" ht="18">
      <c r="A31" s="388" t="s">
        <v>8</v>
      </c>
      <c r="B31" s="389"/>
      <c r="C31" s="389"/>
      <c r="D31" s="389"/>
      <c r="E31" s="389"/>
      <c r="F31" s="389"/>
      <c r="G31" s="283"/>
      <c r="H31" s="108">
        <f>SUM(H29:H30)</f>
        <v>28712.9335824</v>
      </c>
      <c r="I31" s="65" t="e">
        <f>SUM(I29:I30)</f>
        <v>#REF!</v>
      </c>
    </row>
    <row r="32" spans="1:11" ht="18">
      <c r="A32" s="390" t="s">
        <v>23</v>
      </c>
      <c r="B32" s="391"/>
      <c r="C32" s="391"/>
      <c r="D32" s="391"/>
      <c r="E32" s="391"/>
      <c r="F32" s="391"/>
      <c r="G32" s="282"/>
      <c r="H32" s="109">
        <f>H31</f>
        <v>28712.9335824</v>
      </c>
      <c r="I32" s="68" t="e">
        <f>SUM(I29:I30)</f>
        <v>#REF!</v>
      </c>
      <c r="K32" s="12"/>
    </row>
    <row r="33" spans="1:11" ht="18">
      <c r="A33" s="83"/>
      <c r="B33" s="78"/>
      <c r="C33" s="78"/>
      <c r="D33" s="78"/>
      <c r="E33" s="42"/>
      <c r="F33" s="50"/>
      <c r="G33" s="70"/>
      <c r="H33" s="106"/>
      <c r="I33" s="69"/>
      <c r="K33" s="12"/>
    </row>
    <row r="34" spans="1:11" ht="18">
      <c r="A34" s="82" t="s">
        <v>66</v>
      </c>
      <c r="B34" s="29"/>
      <c r="C34" s="30"/>
      <c r="D34" s="77" t="s">
        <v>38</v>
      </c>
      <c r="E34" s="31"/>
      <c r="F34" s="48"/>
      <c r="G34" s="49"/>
      <c r="H34" s="60"/>
      <c r="I34" s="69"/>
      <c r="K34" s="12"/>
    </row>
    <row r="35" spans="1:11" ht="36">
      <c r="A35" s="41" t="s">
        <v>67</v>
      </c>
      <c r="B35" s="38" t="s">
        <v>19</v>
      </c>
      <c r="C35" s="43" t="s">
        <v>54</v>
      </c>
      <c r="D35" s="27" t="s">
        <v>53</v>
      </c>
      <c r="E35" s="25" t="s">
        <v>5</v>
      </c>
      <c r="F35" s="50">
        <v>0.5652</v>
      </c>
      <c r="G35" s="50">
        <f>'Planilha Geral'!G54</f>
        <v>401.26</v>
      </c>
      <c r="H35" s="107">
        <f>F35*G35</f>
        <v>226.79215200000002</v>
      </c>
      <c r="I35" s="69"/>
      <c r="K35" s="12"/>
    </row>
    <row r="36" spans="1:11" ht="18">
      <c r="A36" s="388" t="s">
        <v>8</v>
      </c>
      <c r="B36" s="389"/>
      <c r="C36" s="389"/>
      <c r="D36" s="389"/>
      <c r="E36" s="389"/>
      <c r="F36" s="389"/>
      <c r="G36" s="283"/>
      <c r="H36" s="108">
        <f>SUM(H35:H35)</f>
        <v>226.79215200000002</v>
      </c>
      <c r="I36" s="69"/>
      <c r="K36" s="12"/>
    </row>
    <row r="37" spans="1:11" ht="18">
      <c r="A37" s="390" t="s">
        <v>71</v>
      </c>
      <c r="B37" s="391"/>
      <c r="C37" s="391"/>
      <c r="D37" s="391"/>
      <c r="E37" s="391"/>
      <c r="F37" s="391"/>
      <c r="G37" s="282"/>
      <c r="H37" s="109">
        <f>H36</f>
        <v>226.79215200000002</v>
      </c>
      <c r="I37" s="69"/>
      <c r="K37" s="12"/>
    </row>
    <row r="38" spans="1:11" ht="18">
      <c r="A38" s="133"/>
      <c r="B38" s="44"/>
      <c r="C38" s="44"/>
      <c r="D38" s="44"/>
      <c r="E38" s="44"/>
      <c r="F38" s="44"/>
      <c r="G38" s="44"/>
      <c r="H38" s="106"/>
      <c r="I38" s="69"/>
      <c r="K38" s="12"/>
    </row>
    <row r="39" spans="1:11" ht="18.75" thickBot="1">
      <c r="A39" s="392" t="s">
        <v>10</v>
      </c>
      <c r="B39" s="393"/>
      <c r="C39" s="393"/>
      <c r="D39" s="393"/>
      <c r="E39" s="393"/>
      <c r="F39" s="393"/>
      <c r="G39" s="284"/>
      <c r="H39" s="225">
        <f>H37+H32+H18+H11+H26</f>
        <v>39679.453123060004</v>
      </c>
      <c r="I39" s="105" t="e">
        <f>#REF!+#REF!+I32+#REF!</f>
        <v>#REF!</v>
      </c>
      <c r="K39" s="13"/>
    </row>
    <row r="40" spans="1:8" ht="18" customHeight="1">
      <c r="A40" s="379"/>
      <c r="B40" s="380"/>
      <c r="C40" s="380"/>
      <c r="D40" s="380"/>
      <c r="E40" s="380"/>
      <c r="F40" s="380"/>
      <c r="G40" s="380"/>
      <c r="H40" s="381"/>
    </row>
    <row r="41" spans="1:8" ht="18" customHeight="1">
      <c r="A41" s="382" t="s">
        <v>48</v>
      </c>
      <c r="B41" s="383"/>
      <c r="C41" s="383"/>
      <c r="D41" s="383"/>
      <c r="E41" s="383"/>
      <c r="F41" s="383"/>
      <c r="G41" s="383"/>
      <c r="H41" s="384"/>
    </row>
    <row r="42" spans="1:8" ht="15.75" customHeight="1">
      <c r="A42" s="385" t="s">
        <v>49</v>
      </c>
      <c r="B42" s="386"/>
      <c r="C42" s="386"/>
      <c r="D42" s="386"/>
      <c r="E42" s="386"/>
      <c r="F42" s="386"/>
      <c r="G42" s="386"/>
      <c r="H42" s="387"/>
    </row>
    <row r="43" spans="1:8" ht="18" customHeight="1">
      <c r="A43" s="385" t="s">
        <v>50</v>
      </c>
      <c r="B43" s="386"/>
      <c r="C43" s="386"/>
      <c r="D43" s="386"/>
      <c r="E43" s="386"/>
      <c r="F43" s="386"/>
      <c r="G43" s="386"/>
      <c r="H43" s="387"/>
    </row>
    <row r="44" spans="1:8" ht="18" customHeight="1" thickBot="1">
      <c r="A44" s="85"/>
      <c r="B44" s="86"/>
      <c r="C44" s="86"/>
      <c r="D44" s="86"/>
      <c r="E44" s="86"/>
      <c r="F44" s="86"/>
      <c r="G44" s="86"/>
      <c r="H44" s="115"/>
    </row>
    <row r="45" spans="1:8" ht="18">
      <c r="A45" s="36"/>
      <c r="B45" s="36"/>
      <c r="C45" s="34"/>
      <c r="D45" s="45"/>
      <c r="E45" s="35"/>
      <c r="F45" s="51"/>
      <c r="G45" s="52"/>
      <c r="H45" s="53"/>
    </row>
    <row r="46" spans="1:8" ht="15">
      <c r="A46" s="14"/>
      <c r="B46" s="20"/>
      <c r="C46" s="23"/>
      <c r="D46" s="46"/>
      <c r="E46" s="8"/>
      <c r="F46" s="54"/>
      <c r="G46" s="55"/>
      <c r="H46" s="56"/>
    </row>
  </sheetData>
  <sheetProtection/>
  <mergeCells count="23">
    <mergeCell ref="A1:H2"/>
    <mergeCell ref="A3:H3"/>
    <mergeCell ref="A4:D5"/>
    <mergeCell ref="E4:H4"/>
    <mergeCell ref="E5:H5"/>
    <mergeCell ref="A6:D6"/>
    <mergeCell ref="E6:H6"/>
    <mergeCell ref="A37:F37"/>
    <mergeCell ref="A7:D7"/>
    <mergeCell ref="E7:H8"/>
    <mergeCell ref="A8:C8"/>
    <mergeCell ref="A11:F11"/>
    <mergeCell ref="A18:F18"/>
    <mergeCell ref="A39:F39"/>
    <mergeCell ref="A40:H40"/>
    <mergeCell ref="A41:H41"/>
    <mergeCell ref="A42:H42"/>
    <mergeCell ref="A43:H43"/>
    <mergeCell ref="A25:F25"/>
    <mergeCell ref="A26:F26"/>
    <mergeCell ref="A31:F31"/>
    <mergeCell ref="A32:F32"/>
    <mergeCell ref="A36:F36"/>
  </mergeCells>
  <printOptions/>
  <pageMargins left="0.511811024" right="0.511811024" top="0.787401575" bottom="0.787401575" header="0.31496062" footer="0.31496062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Rosangela Corrêa Ramalho Fernandes</dc:creator>
  <cp:keywords/>
  <dc:description/>
  <cp:lastModifiedBy>XXX</cp:lastModifiedBy>
  <cp:lastPrinted>2016-06-15T10:40:33Z</cp:lastPrinted>
  <dcterms:created xsi:type="dcterms:W3CDTF">2009-05-08T17:29:37Z</dcterms:created>
  <dcterms:modified xsi:type="dcterms:W3CDTF">2016-06-15T10:42:14Z</dcterms:modified>
  <cp:category/>
  <cp:version/>
  <cp:contentType/>
  <cp:contentStatus/>
</cp:coreProperties>
</file>